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hale\Downloads\sec17\"/>
    </mc:Choice>
  </mc:AlternateContent>
  <xr:revisionPtr revIDLastSave="0" documentId="13_ncr:1_{AD1DA1C4-9032-42DC-A8A2-A7FC5A7C6B3B}" xr6:coauthVersionLast="47" xr6:coauthVersionMax="47" xr10:uidLastSave="{00000000-0000-0000-0000-000000000000}"/>
  <bookViews>
    <workbookView xWindow="28680" yWindow="-669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externalReferences>
    <externalReference r:id="rId8"/>
  </externalReference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3" i="4" l="1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L4170" i="5"/>
  <c r="K4170" i="5"/>
  <c r="J4170" i="5"/>
  <c r="I4170" i="5"/>
  <c r="H4170" i="5"/>
  <c r="L4169" i="5"/>
  <c r="K4169" i="5"/>
  <c r="J4169" i="5"/>
  <c r="I4169" i="5"/>
  <c r="H4169" i="5"/>
  <c r="L4168" i="5"/>
  <c r="K4168" i="5"/>
  <c r="J4168" i="5"/>
  <c r="I4168" i="5"/>
  <c r="H4168" i="5"/>
  <c r="L4167" i="5"/>
  <c r="K4167" i="5"/>
  <c r="J4167" i="5"/>
  <c r="I4167" i="5"/>
  <c r="H4167" i="5"/>
  <c r="L4166" i="5"/>
  <c r="K4166" i="5"/>
  <c r="J4166" i="5"/>
  <c r="I4166" i="5"/>
  <c r="H4166" i="5"/>
  <c r="L4165" i="5"/>
  <c r="K4165" i="5"/>
  <c r="J4165" i="5"/>
  <c r="I4165" i="5"/>
  <c r="H4165" i="5"/>
  <c r="L4164" i="5"/>
  <c r="K4164" i="5"/>
  <c r="J4164" i="5"/>
  <c r="I4164" i="5"/>
  <c r="H4164" i="5"/>
  <c r="L4163" i="5"/>
  <c r="K4163" i="5"/>
  <c r="J4163" i="5"/>
  <c r="I4163" i="5"/>
  <c r="H4163" i="5"/>
  <c r="L4162" i="5"/>
  <c r="K4162" i="5"/>
  <c r="J4162" i="5"/>
  <c r="I4162" i="5"/>
  <c r="H4162" i="5"/>
  <c r="L4161" i="5"/>
  <c r="K4161" i="5"/>
  <c r="J4161" i="5"/>
  <c r="I4161" i="5"/>
  <c r="H4161" i="5"/>
  <c r="L4160" i="5"/>
  <c r="K4160" i="5"/>
  <c r="J4160" i="5"/>
  <c r="I4160" i="5"/>
  <c r="H4160" i="5"/>
  <c r="L4159" i="5"/>
  <c r="K4159" i="5"/>
  <c r="J4159" i="5"/>
  <c r="I4159" i="5"/>
  <c r="H4159" i="5"/>
  <c r="L4158" i="5"/>
  <c r="K4158" i="5"/>
  <c r="J4158" i="5"/>
  <c r="I4158" i="5"/>
  <c r="H4158" i="5"/>
  <c r="L4157" i="5"/>
  <c r="K4157" i="5"/>
  <c r="J4157" i="5"/>
  <c r="I4157" i="5"/>
  <c r="H4157" i="5"/>
  <c r="L4156" i="5"/>
  <c r="K4156" i="5"/>
  <c r="J4156" i="5"/>
  <c r="I4156" i="5"/>
  <c r="H4156" i="5"/>
  <c r="L4155" i="5"/>
  <c r="K4155" i="5"/>
  <c r="J4155" i="5"/>
  <c r="I4155" i="5"/>
  <c r="H4155" i="5"/>
  <c r="L4154" i="5"/>
  <c r="K4154" i="5"/>
  <c r="J4154" i="5"/>
  <c r="I4154" i="5"/>
  <c r="H4154" i="5"/>
  <c r="L4153" i="5"/>
  <c r="K4153" i="5"/>
  <c r="J4153" i="5"/>
  <c r="I4153" i="5"/>
  <c r="H4153" i="5"/>
  <c r="L4152" i="5"/>
  <c r="K4152" i="5"/>
  <c r="J4152" i="5"/>
  <c r="I4152" i="5"/>
  <c r="H4152" i="5"/>
  <c r="L4151" i="5"/>
  <c r="K4151" i="5"/>
  <c r="J4151" i="5"/>
  <c r="I4151" i="5"/>
  <c r="H4151" i="5"/>
  <c r="L4150" i="5"/>
  <c r="K4150" i="5"/>
  <c r="J4150" i="5"/>
  <c r="I4150" i="5"/>
  <c r="H4150" i="5"/>
  <c r="L4149" i="5"/>
  <c r="K4149" i="5"/>
  <c r="J4149" i="5"/>
  <c r="I4149" i="5"/>
  <c r="H4149" i="5"/>
  <c r="L4148" i="5"/>
  <c r="K4148" i="5"/>
  <c r="J4148" i="5"/>
  <c r="I4148" i="5"/>
  <c r="H4148" i="5"/>
  <c r="L4147" i="5"/>
  <c r="K4147" i="5"/>
  <c r="J4147" i="5"/>
  <c r="I4147" i="5"/>
  <c r="H4147" i="5"/>
  <c r="L4146" i="5"/>
  <c r="K4146" i="5"/>
  <c r="J4146" i="5"/>
  <c r="I4146" i="5"/>
  <c r="H4146" i="5"/>
  <c r="L4145" i="5"/>
  <c r="K4145" i="5"/>
  <c r="J4145" i="5"/>
  <c r="I4145" i="5"/>
  <c r="H4145" i="5"/>
  <c r="L4144" i="5"/>
  <c r="K4144" i="5"/>
  <c r="J4144" i="5"/>
  <c r="I4144" i="5"/>
  <c r="H4144" i="5"/>
  <c r="L4143" i="5"/>
  <c r="K4143" i="5"/>
  <c r="J4143" i="5"/>
  <c r="I4143" i="5"/>
  <c r="H4143" i="5"/>
  <c r="L4142" i="5"/>
  <c r="K4142" i="5"/>
  <c r="J4142" i="5"/>
  <c r="I4142" i="5"/>
  <c r="H4142" i="5"/>
  <c r="L4141" i="5"/>
  <c r="K4141" i="5"/>
  <c r="J4141" i="5"/>
  <c r="I4141" i="5"/>
  <c r="H4141" i="5"/>
  <c r="L4140" i="5"/>
  <c r="K4140" i="5"/>
  <c r="J4140" i="5"/>
  <c r="I4140" i="5"/>
  <c r="H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D24" i="3" s="1"/>
  <c r="C17" i="6" s="1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P67" i="4"/>
  <c r="Q67" i="4" s="1"/>
  <c r="P81" i="4"/>
  <c r="Q81" i="4" s="1"/>
  <c r="J92" i="4"/>
  <c r="R92" i="4" s="1"/>
  <c r="T92" i="4" s="1"/>
  <c r="P95" i="4"/>
  <c r="Q95" i="4" s="1"/>
  <c r="O107" i="4"/>
  <c r="O123" i="4"/>
  <c r="J107" i="4"/>
  <c r="R107" i="4" s="1"/>
  <c r="U107" i="4" s="1"/>
  <c r="J123" i="4"/>
  <c r="R123" i="4" s="1"/>
  <c r="V123" i="4" s="1"/>
  <c r="N94" i="4"/>
  <c r="Y94" i="4" s="1"/>
  <c r="AC94" i="4" s="1"/>
  <c r="AG94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AA83" i="4"/>
  <c r="AE83" i="4" s="1"/>
  <c r="AI83" i="4" s="1"/>
  <c r="Z83" i="4"/>
  <c r="AD83" i="4" s="1"/>
  <c r="AH83" i="4" s="1"/>
  <c r="M128" i="4"/>
  <c r="M106" i="4"/>
  <c r="Y63" i="4"/>
  <c r="AC63" i="4" s="1"/>
  <c r="AG63" i="4" s="1"/>
  <c r="AA63" i="4"/>
  <c r="AE63" i="4" s="1"/>
  <c r="AI63" i="4" s="1"/>
  <c r="Z63" i="4"/>
  <c r="AD63" i="4" s="1"/>
  <c r="AH63" i="4" s="1"/>
  <c r="T124" i="4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O102" i="4"/>
  <c r="AA114" i="4"/>
  <c r="AE114" i="4" s="1"/>
  <c r="AI114" i="4" s="1"/>
  <c r="P116" i="4"/>
  <c r="Q116" i="4" s="1"/>
  <c r="P132" i="4"/>
  <c r="Q132" i="4" s="1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62" i="4"/>
  <c r="Q62" i="4" s="1"/>
  <c r="N128" i="4"/>
  <c r="AA128" i="4" s="1"/>
  <c r="AE128" i="4" s="1"/>
  <c r="AI128" i="4" s="1"/>
  <c r="P98" i="4"/>
  <c r="Q98" i="4" s="1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O80" i="4"/>
  <c r="M101" i="4"/>
  <c r="O120" i="4"/>
  <c r="J133" i="4"/>
  <c r="R133" i="4" s="1"/>
  <c r="W133" i="4" s="1"/>
  <c r="V91" i="4"/>
  <c r="T91" i="4"/>
  <c r="W91" i="4"/>
  <c r="U91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O69" i="4"/>
  <c r="P69" i="4"/>
  <c r="Q69" i="4" s="1"/>
  <c r="N69" i="4"/>
  <c r="W69" i="4"/>
  <c r="V69" i="4"/>
  <c r="T69" i="4"/>
  <c r="U69" i="4"/>
  <c r="M93" i="4"/>
  <c r="M109" i="4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M69" i="4"/>
  <c r="M76" i="4"/>
  <c r="V92" i="4"/>
  <c r="M62" i="4"/>
  <c r="W100" i="4"/>
  <c r="V100" i="4"/>
  <c r="U100" i="4"/>
  <c r="T100" i="4"/>
  <c r="V63" i="4"/>
  <c r="U63" i="4"/>
  <c r="T63" i="4"/>
  <c r="W63" i="4"/>
  <c r="V75" i="4"/>
  <c r="T75" i="4"/>
  <c r="W75" i="4"/>
  <c r="U75" i="4"/>
  <c r="M131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P63" i="4"/>
  <c r="Q63" i="4" s="1"/>
  <c r="O63" i="4"/>
  <c r="O71" i="4"/>
  <c r="N72" i="4"/>
  <c r="O73" i="4"/>
  <c r="O74" i="4"/>
  <c r="W85" i="4"/>
  <c r="V85" i="4"/>
  <c r="T85" i="4"/>
  <c r="O105" i="4"/>
  <c r="W107" i="4"/>
  <c r="V107" i="4"/>
  <c r="T107" i="4"/>
  <c r="W112" i="4"/>
  <c r="V112" i="4"/>
  <c r="U112" i="4"/>
  <c r="M81" i="4"/>
  <c r="W90" i="4"/>
  <c r="V90" i="4"/>
  <c r="U90" i="4"/>
  <c r="M92" i="4"/>
  <c r="V115" i="4"/>
  <c r="U115" i="4"/>
  <c r="T115" i="4"/>
  <c r="M126" i="4"/>
  <c r="P89" i="4"/>
  <c r="Q89" i="4" s="1"/>
  <c r="N89" i="4"/>
  <c r="T90" i="4"/>
  <c r="M110" i="4"/>
  <c r="W130" i="4"/>
  <c r="V130" i="4"/>
  <c r="T130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T123" i="4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N121" i="4"/>
  <c r="W123" i="4"/>
  <c r="Y133" i="4"/>
  <c r="AC133" i="4" s="1"/>
  <c r="AG133" i="4" s="1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U92" i="4" l="1"/>
  <c r="W92" i="4"/>
  <c r="G49" i="4"/>
  <c r="G35" i="4"/>
  <c r="I54" i="4"/>
  <c r="N54" i="4" s="1"/>
  <c r="I40" i="4"/>
  <c r="N40" i="4" s="1"/>
  <c r="H59" i="4"/>
  <c r="K58" i="4" s="1"/>
  <c r="H45" i="4"/>
  <c r="K44" i="4" s="1"/>
  <c r="G48" i="4"/>
  <c r="G34" i="4"/>
  <c r="I53" i="4"/>
  <c r="N53" i="4" s="1"/>
  <c r="I39" i="4"/>
  <c r="H58" i="4"/>
  <c r="K57" i="4" s="1"/>
  <c r="H44" i="4"/>
  <c r="K43" i="4" s="1"/>
  <c r="G47" i="4"/>
  <c r="G33" i="4"/>
  <c r="I52" i="4"/>
  <c r="N52" i="4" s="1"/>
  <c r="I38" i="4"/>
  <c r="N38" i="4" s="1"/>
  <c r="H57" i="4"/>
  <c r="K56" i="4" s="1"/>
  <c r="H43" i="4"/>
  <c r="K42" i="4" s="1"/>
  <c r="G38" i="4"/>
  <c r="G60" i="4"/>
  <c r="G46" i="4"/>
  <c r="G32" i="4"/>
  <c r="I51" i="4"/>
  <c r="I37" i="4"/>
  <c r="H56" i="4"/>
  <c r="K55" i="4" s="1"/>
  <c r="H42" i="4"/>
  <c r="K41" i="4" s="1"/>
  <c r="G59" i="4"/>
  <c r="G45" i="4"/>
  <c r="G31" i="4"/>
  <c r="I50" i="4"/>
  <c r="I36" i="4"/>
  <c r="N36" i="4" s="1"/>
  <c r="H55" i="4"/>
  <c r="K54" i="4" s="1"/>
  <c r="L54" i="4" s="1"/>
  <c r="M54" i="4" s="1"/>
  <c r="H41" i="4"/>
  <c r="K40" i="4" s="1"/>
  <c r="L40" i="4" s="1"/>
  <c r="M40" i="4" s="1"/>
  <c r="O40" i="4" s="1"/>
  <c r="G52" i="4"/>
  <c r="G58" i="4"/>
  <c r="G44" i="4"/>
  <c r="I49" i="4"/>
  <c r="N49" i="4" s="1"/>
  <c r="I35" i="4"/>
  <c r="N35" i="4" s="1"/>
  <c r="H54" i="4"/>
  <c r="K53" i="4" s="1"/>
  <c r="H40" i="4"/>
  <c r="K39" i="4" s="1"/>
  <c r="G57" i="4"/>
  <c r="G43" i="4"/>
  <c r="I48" i="4"/>
  <c r="I34" i="4"/>
  <c r="H53" i="4"/>
  <c r="K52" i="4" s="1"/>
  <c r="H39" i="4"/>
  <c r="K38" i="4" s="1"/>
  <c r="L38" i="4" s="1"/>
  <c r="G51" i="4"/>
  <c r="G56" i="4"/>
  <c r="G42" i="4"/>
  <c r="I47" i="4"/>
  <c r="N47" i="4" s="1"/>
  <c r="I33" i="4"/>
  <c r="N33" i="4" s="1"/>
  <c r="H52" i="4"/>
  <c r="K51" i="4" s="1"/>
  <c r="H38" i="4"/>
  <c r="K37" i="4" s="1"/>
  <c r="G55" i="4"/>
  <c r="G41" i="4"/>
  <c r="I60" i="4"/>
  <c r="N60" i="4" s="1"/>
  <c r="I46" i="4"/>
  <c r="I32" i="4"/>
  <c r="N32" i="4" s="1"/>
  <c r="H51" i="4"/>
  <c r="K50" i="4" s="1"/>
  <c r="H37" i="4"/>
  <c r="K36" i="4" s="1"/>
  <c r="L36" i="4" s="1"/>
  <c r="G53" i="4"/>
  <c r="G39" i="4"/>
  <c r="I58" i="4"/>
  <c r="I44" i="4"/>
  <c r="H49" i="4"/>
  <c r="K48" i="4" s="1"/>
  <c r="H35" i="4"/>
  <c r="K34" i="4" s="1"/>
  <c r="I57" i="4"/>
  <c r="I43" i="4"/>
  <c r="N43" i="4" s="1"/>
  <c r="H48" i="4"/>
  <c r="K47" i="4" s="1"/>
  <c r="L47" i="4" s="1"/>
  <c r="M47" i="4" s="1"/>
  <c r="H34" i="4"/>
  <c r="K33" i="4" s="1"/>
  <c r="L33" i="4" s="1"/>
  <c r="M33" i="4" s="1"/>
  <c r="G37" i="4"/>
  <c r="I56" i="4"/>
  <c r="I42" i="4"/>
  <c r="H61" i="4"/>
  <c r="K60" i="4" s="1"/>
  <c r="H47" i="4"/>
  <c r="K46" i="4" s="1"/>
  <c r="H33" i="4"/>
  <c r="K32" i="4" s="1"/>
  <c r="G54" i="4"/>
  <c r="G40" i="4"/>
  <c r="I59" i="4"/>
  <c r="I45" i="4"/>
  <c r="N45" i="4" s="1"/>
  <c r="I31" i="4"/>
  <c r="H50" i="4"/>
  <c r="K49" i="4" s="1"/>
  <c r="H36" i="4"/>
  <c r="K35" i="4" s="1"/>
  <c r="G50" i="4"/>
  <c r="G36" i="4"/>
  <c r="I55" i="4"/>
  <c r="I41" i="4"/>
  <c r="H60" i="4"/>
  <c r="K59" i="4" s="1"/>
  <c r="H46" i="4"/>
  <c r="K45" i="4" s="1"/>
  <c r="H32" i="4"/>
  <c r="K31" i="4" s="1"/>
  <c r="U120" i="4"/>
  <c r="T120" i="4"/>
  <c r="P47" i="4"/>
  <c r="Q47" i="4" s="1"/>
  <c r="O47" i="4"/>
  <c r="P54" i="4"/>
  <c r="Q54" i="4" s="1"/>
  <c r="O54" i="4"/>
  <c r="M36" i="4"/>
  <c r="P40" i="4"/>
  <c r="Q40" i="4" s="1"/>
  <c r="O52" i="4"/>
  <c r="O49" i="4"/>
  <c r="P35" i="4"/>
  <c r="Q35" i="4" s="1"/>
  <c r="O35" i="4"/>
  <c r="P43" i="4"/>
  <c r="Q43" i="4" s="1"/>
  <c r="O43" i="4"/>
  <c r="P32" i="4"/>
  <c r="Q32" i="4" s="1"/>
  <c r="O32" i="4"/>
  <c r="W96" i="4"/>
  <c r="T125" i="4"/>
  <c r="U64" i="4"/>
  <c r="W64" i="4"/>
  <c r="V120" i="4"/>
  <c r="G27" i="4"/>
  <c r="H25" i="4"/>
  <c r="K24" i="4" s="1"/>
  <c r="G26" i="4"/>
  <c r="H24" i="4"/>
  <c r="K23" i="4" s="1"/>
  <c r="G25" i="4"/>
  <c r="I30" i="4"/>
  <c r="H23" i="4"/>
  <c r="K22" i="4" s="1"/>
  <c r="G24" i="4"/>
  <c r="I29" i="4"/>
  <c r="N29" i="4" s="1"/>
  <c r="H22" i="4"/>
  <c r="K21" i="4" s="1"/>
  <c r="G23" i="4"/>
  <c r="I28" i="4"/>
  <c r="G22" i="4"/>
  <c r="I27" i="4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N23" i="4" s="1"/>
  <c r="H28" i="4"/>
  <c r="K27" i="4" s="1"/>
  <c r="G29" i="4"/>
  <c r="I22" i="4"/>
  <c r="H27" i="4"/>
  <c r="K26" i="4" s="1"/>
  <c r="G28" i="4"/>
  <c r="I21" i="4"/>
  <c r="H26" i="4"/>
  <c r="K25" i="4" s="1"/>
  <c r="V64" i="4"/>
  <c r="U123" i="4"/>
  <c r="B9" i="1"/>
  <c r="B10" i="1" s="1"/>
  <c r="C18" i="6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L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L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125" i="4"/>
  <c r="W80" i="4"/>
  <c r="V118" i="4"/>
  <c r="U118" i="4"/>
  <c r="T118" i="4"/>
  <c r="T133" i="4"/>
  <c r="T67" i="4"/>
  <c r="Y129" i="4"/>
  <c r="AC129" i="4" s="1"/>
  <c r="AG129" i="4" s="1"/>
  <c r="Y104" i="4"/>
  <c r="AC104" i="4" s="1"/>
  <c r="AG104" i="4" s="1"/>
  <c r="Y117" i="4"/>
  <c r="AC117" i="4" s="1"/>
  <c r="AG117" i="4" s="1"/>
  <c r="Y128" i="4"/>
  <c r="AC128" i="4" s="1"/>
  <c r="AG128" i="4" s="1"/>
  <c r="Z91" i="4"/>
  <c r="AD91" i="4" s="1"/>
  <c r="AH91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T122" i="4"/>
  <c r="U122" i="4"/>
  <c r="V122" i="4"/>
  <c r="T102" i="4"/>
  <c r="U76" i="4"/>
  <c r="T76" i="4"/>
  <c r="V76" i="4"/>
  <c r="V82" i="4"/>
  <c r="W125" i="4"/>
  <c r="Z80" i="4"/>
  <c r="AD80" i="4" s="1"/>
  <c r="AH80" i="4" s="1"/>
  <c r="W102" i="4"/>
  <c r="T96" i="4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Y82" i="4"/>
  <c r="AC82" i="4" s="1"/>
  <c r="AG82" i="4" s="1"/>
  <c r="AA82" i="4"/>
  <c r="AE82" i="4" s="1"/>
  <c r="AI82" i="4" s="1"/>
  <c r="Z82" i="4"/>
  <c r="AD82" i="4" s="1"/>
  <c r="AH82" i="4" s="1"/>
  <c r="T116" i="4"/>
  <c r="Z102" i="4"/>
  <c r="AD102" i="4" s="1"/>
  <c r="AH102" i="4" s="1"/>
  <c r="Y102" i="4"/>
  <c r="AC102" i="4" s="1"/>
  <c r="AG102" i="4" s="1"/>
  <c r="U116" i="4"/>
  <c r="W116" i="4"/>
  <c r="U98" i="4"/>
  <c r="T98" i="4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W110" i="4"/>
  <c r="V110" i="4"/>
  <c r="U110" i="4"/>
  <c r="T110" i="4"/>
  <c r="V81" i="4"/>
  <c r="U81" i="4"/>
  <c r="W81" i="4"/>
  <c r="T8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T126" i="4"/>
  <c r="W126" i="4"/>
  <c r="V126" i="4"/>
  <c r="U126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N27" i="4" l="1"/>
  <c r="M38" i="4"/>
  <c r="L35" i="4"/>
  <c r="M35" i="4" s="1"/>
  <c r="L49" i="4"/>
  <c r="M49" i="4" s="1"/>
  <c r="P49" i="4" s="1"/>
  <c r="Q49" i="4" s="1"/>
  <c r="L39" i="4"/>
  <c r="M39" i="4" s="1"/>
  <c r="L41" i="4"/>
  <c r="M41" i="4" s="1"/>
  <c r="O41" i="4" s="1"/>
  <c r="L43" i="4"/>
  <c r="M43" i="4" s="1"/>
  <c r="N31" i="4"/>
  <c r="N57" i="4"/>
  <c r="P57" i="4"/>
  <c r="Q57" i="4" s="1"/>
  <c r="O57" i="4"/>
  <c r="L37" i="4"/>
  <c r="M37" i="4"/>
  <c r="P37" i="4" s="1"/>
  <c r="Q37" i="4" s="1"/>
  <c r="L53" i="4"/>
  <c r="M53" i="4"/>
  <c r="O53" i="4" s="1"/>
  <c r="L55" i="4"/>
  <c r="M55" i="4" s="1"/>
  <c r="O55" i="4" s="1"/>
  <c r="L57" i="4"/>
  <c r="M57" i="4" s="1"/>
  <c r="L34" i="4"/>
  <c r="M34" i="4"/>
  <c r="P34" i="4" s="1"/>
  <c r="Q34" i="4" s="1"/>
  <c r="L51" i="4"/>
  <c r="M51" i="4"/>
  <c r="O51" i="4" s="1"/>
  <c r="N37" i="4"/>
  <c r="O37" i="4"/>
  <c r="N39" i="4"/>
  <c r="P60" i="4"/>
  <c r="Q60" i="4" s="1"/>
  <c r="N59" i="4"/>
  <c r="L48" i="4"/>
  <c r="M48" i="4" s="1"/>
  <c r="P51" i="4"/>
  <c r="Q51" i="4" s="1"/>
  <c r="N51" i="4"/>
  <c r="N44" i="4"/>
  <c r="P44" i="4"/>
  <c r="Q44" i="4" s="1"/>
  <c r="N58" i="4"/>
  <c r="P58" i="4"/>
  <c r="Q58" i="4" s="1"/>
  <c r="O58" i="4"/>
  <c r="L31" i="4"/>
  <c r="M31" i="4" s="1"/>
  <c r="O31" i="4" s="1"/>
  <c r="L32" i="4"/>
  <c r="M32" i="4" s="1"/>
  <c r="L44" i="4"/>
  <c r="M44" i="4"/>
  <c r="O44" i="4" s="1"/>
  <c r="P33" i="4"/>
  <c r="Q33" i="4" s="1"/>
  <c r="L45" i="4"/>
  <c r="M45" i="4"/>
  <c r="P45" i="4" s="1"/>
  <c r="Q45" i="4" s="1"/>
  <c r="L46" i="4"/>
  <c r="M46" i="4" s="1"/>
  <c r="L58" i="4"/>
  <c r="M58" i="4"/>
  <c r="O33" i="4"/>
  <c r="L59" i="4"/>
  <c r="M59" i="4" s="1"/>
  <c r="O59" i="4" s="1"/>
  <c r="L60" i="4"/>
  <c r="M60" i="4" s="1"/>
  <c r="O60" i="4" s="1"/>
  <c r="L42" i="4"/>
  <c r="M42" i="4"/>
  <c r="O45" i="4"/>
  <c r="N41" i="4"/>
  <c r="N42" i="4"/>
  <c r="P42" i="4"/>
  <c r="Q42" i="4" s="1"/>
  <c r="O42" i="4"/>
  <c r="L50" i="4"/>
  <c r="M50" i="4" s="1"/>
  <c r="O50" i="4" s="1"/>
  <c r="L52" i="4"/>
  <c r="M52" i="4"/>
  <c r="P52" i="4" s="1"/>
  <c r="Q52" i="4" s="1"/>
  <c r="L56" i="4"/>
  <c r="M56" i="4"/>
  <c r="N55" i="4"/>
  <c r="P55" i="4"/>
  <c r="Q55" i="4" s="1"/>
  <c r="N56" i="4"/>
  <c r="P56" i="4"/>
  <c r="Q56" i="4" s="1"/>
  <c r="O56" i="4"/>
  <c r="O34" i="4"/>
  <c r="N34" i="4"/>
  <c r="N50" i="4"/>
  <c r="P53" i="4"/>
  <c r="Q53" i="4" s="1"/>
  <c r="N46" i="4"/>
  <c r="N48" i="4"/>
  <c r="P36" i="4"/>
  <c r="Q36" i="4" s="1"/>
  <c r="O36" i="4"/>
  <c r="P38" i="4"/>
  <c r="Q38" i="4" s="1"/>
  <c r="O38" i="4"/>
  <c r="N30" i="4"/>
  <c r="N22" i="4"/>
  <c r="L21" i="4"/>
  <c r="M21" i="4" s="1"/>
  <c r="L28" i="4"/>
  <c r="M28" i="4" s="1"/>
  <c r="O28" i="4" s="1"/>
  <c r="L29" i="4"/>
  <c r="M29" i="4" s="1"/>
  <c r="L22" i="4"/>
  <c r="M22" i="4" s="1"/>
  <c r="L25" i="4"/>
  <c r="M25" i="4" s="1"/>
  <c r="O25" i="4" s="1"/>
  <c r="N21" i="4"/>
  <c r="L30" i="4"/>
  <c r="M30" i="4" s="1"/>
  <c r="N28" i="4"/>
  <c r="L23" i="4"/>
  <c r="M23" i="4" s="1"/>
  <c r="L26" i="4"/>
  <c r="M26" i="4" s="1"/>
  <c r="K2" i="4"/>
  <c r="L2" i="4" s="1"/>
  <c r="M2" i="4" s="1"/>
  <c r="L24" i="4"/>
  <c r="M24" i="4" s="1"/>
  <c r="O24" i="4" s="1"/>
  <c r="L27" i="4"/>
  <c r="M27" i="4" s="1"/>
  <c r="N13" i="4"/>
  <c r="N17" i="4"/>
  <c r="N5" i="4"/>
  <c r="I2" i="4"/>
  <c r="J2" i="4" s="1"/>
  <c r="R2" i="4" s="1"/>
  <c r="B6" i="6"/>
  <c r="M17" i="4"/>
  <c r="M4" i="4"/>
  <c r="M9" i="4"/>
  <c r="M12" i="4"/>
  <c r="M13" i="4"/>
  <c r="N4" i="4"/>
  <c r="M6" i="4"/>
  <c r="M7" i="4"/>
  <c r="M18" i="4"/>
  <c r="N6" i="4"/>
  <c r="N7" i="4"/>
  <c r="N12" i="4"/>
  <c r="M16" i="4"/>
  <c r="M11" i="4"/>
  <c r="N18" i="4"/>
  <c r="N15" i="4"/>
  <c r="N16" i="4"/>
  <c r="N11" i="4"/>
  <c r="M15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P31" i="4" l="1"/>
  <c r="Q31" i="4" s="1"/>
  <c r="O39" i="4"/>
  <c r="P39" i="4"/>
  <c r="Q39" i="4" s="1"/>
  <c r="P50" i="4"/>
  <c r="Q50" i="4" s="1"/>
  <c r="O46" i="4"/>
  <c r="P46" i="4"/>
  <c r="Q46" i="4" s="1"/>
  <c r="P48" i="4"/>
  <c r="Q48" i="4" s="1"/>
  <c r="O48" i="4"/>
  <c r="P41" i="4"/>
  <c r="Q41" i="4" s="1"/>
  <c r="P59" i="4"/>
  <c r="Q59" i="4" s="1"/>
  <c r="P26" i="4"/>
  <c r="Q26" i="4" s="1"/>
  <c r="O26" i="4"/>
  <c r="O23" i="4"/>
  <c r="P23" i="4"/>
  <c r="Q23" i="4" s="1"/>
  <c r="O27" i="4"/>
  <c r="P27" i="4"/>
  <c r="Q27" i="4" s="1"/>
  <c r="P25" i="4"/>
  <c r="Q25" i="4" s="1"/>
  <c r="P30" i="4"/>
  <c r="Q30" i="4" s="1"/>
  <c r="O30" i="4"/>
  <c r="O22" i="4"/>
  <c r="P22" i="4"/>
  <c r="Q22" i="4" s="1"/>
  <c r="P21" i="4"/>
  <c r="Q21" i="4" s="1"/>
  <c r="O21" i="4"/>
  <c r="P28" i="4"/>
  <c r="Q28" i="4" s="1"/>
  <c r="P29" i="4"/>
  <c r="Q29" i="4" s="1"/>
  <c r="O29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R4" i="4" s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J5" i="4" l="1"/>
  <c r="R5" i="4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R9" i="4" l="1"/>
  <c r="J10" i="4"/>
  <c r="U8" i="4"/>
  <c r="W8" i="4"/>
  <c r="V8" i="4"/>
  <c r="T8" i="4"/>
  <c r="R10" i="4" l="1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V20" i="4" s="1"/>
  <c r="J21" i="4"/>
  <c r="V19" i="4"/>
  <c r="W19" i="4"/>
  <c r="U19" i="4"/>
  <c r="T19" i="4"/>
  <c r="W20" i="4" l="1"/>
  <c r="T20" i="4"/>
  <c r="U20" i="4"/>
  <c r="R21" i="4"/>
  <c r="J22" i="4"/>
  <c r="R22" i="4" l="1"/>
  <c r="J23" i="4"/>
  <c r="V21" i="4"/>
  <c r="T21" i="4"/>
  <c r="U21" i="4"/>
  <c r="W21" i="4"/>
  <c r="R23" i="4" l="1"/>
  <c r="J24" i="4"/>
  <c r="T22" i="4"/>
  <c r="W22" i="4"/>
  <c r="U22" i="4"/>
  <c r="V22" i="4"/>
  <c r="R24" i="4" l="1"/>
  <c r="J25" i="4"/>
  <c r="T23" i="4"/>
  <c r="V23" i="4"/>
  <c r="U23" i="4"/>
  <c r="W23" i="4"/>
  <c r="R25" i="4" l="1"/>
  <c r="J26" i="4"/>
  <c r="V24" i="4"/>
  <c r="U24" i="4"/>
  <c r="T24" i="4"/>
  <c r="W24" i="4"/>
  <c r="R26" i="4" l="1"/>
  <c r="J27" i="4"/>
  <c r="U25" i="4"/>
  <c r="T25" i="4"/>
  <c r="W25" i="4"/>
  <c r="V25" i="4"/>
  <c r="R27" i="4" l="1"/>
  <c r="J28" i="4"/>
  <c r="T26" i="4"/>
  <c r="W26" i="4"/>
  <c r="V26" i="4"/>
  <c r="U26" i="4"/>
  <c r="R28" i="4" l="1"/>
  <c r="J29" i="4"/>
  <c r="V27" i="4"/>
  <c r="U27" i="4"/>
  <c r="T27" i="4"/>
  <c r="W27" i="4"/>
  <c r="R29" i="4" l="1"/>
  <c r="J30" i="4"/>
  <c r="V28" i="4"/>
  <c r="T28" i="4"/>
  <c r="U28" i="4"/>
  <c r="W28" i="4"/>
  <c r="R30" i="4" l="1"/>
  <c r="J31" i="4"/>
  <c r="N8" i="3"/>
  <c r="W30" i="4"/>
  <c r="T30" i="4"/>
  <c r="V30" i="4"/>
  <c r="U30" i="4"/>
  <c r="W29" i="4"/>
  <c r="U29" i="4"/>
  <c r="V29" i="4"/>
  <c r="T29" i="4"/>
  <c r="R31" i="4" l="1"/>
  <c r="J32" i="4"/>
  <c r="K7" i="3"/>
  <c r="K6" i="3"/>
  <c r="M6" i="3"/>
  <c r="M8" i="3"/>
  <c r="M7" i="3"/>
  <c r="M3" i="3"/>
  <c r="M4" i="3" s="1"/>
  <c r="M9" i="3" s="1"/>
  <c r="L8" i="3"/>
  <c r="L7" i="3"/>
  <c r="L6" i="3"/>
  <c r="L3" i="3"/>
  <c r="L4" i="3" s="1"/>
  <c r="L9" i="3" s="1"/>
  <c r="N3" i="3"/>
  <c r="N4" i="3" s="1"/>
  <c r="N9" i="3" s="1"/>
  <c r="N7" i="3"/>
  <c r="N6" i="3"/>
  <c r="K3" i="3"/>
  <c r="K4" i="3" s="1"/>
  <c r="K9" i="3" s="1"/>
  <c r="K8" i="3"/>
  <c r="R32" i="4" l="1"/>
  <c r="J33" i="4"/>
  <c r="V31" i="4"/>
  <c r="W31" i="4"/>
  <c r="U31" i="4"/>
  <c r="T31" i="4"/>
  <c r="N5" i="3"/>
  <c r="N10" i="3" s="1"/>
  <c r="M5" i="3"/>
  <c r="M10" i="3" s="1"/>
  <c r="M12" i="3" s="1"/>
  <c r="M13" i="3" s="1"/>
  <c r="X83" i="4"/>
  <c r="AB83" i="4" s="1"/>
  <c r="AF83" i="4" s="1"/>
  <c r="X112" i="4"/>
  <c r="AB112" i="4" s="1"/>
  <c r="AF112" i="4" s="1"/>
  <c r="X132" i="4"/>
  <c r="AB132" i="4" s="1"/>
  <c r="AF132" i="4" s="1"/>
  <c r="X89" i="4"/>
  <c r="AB89" i="4" s="1"/>
  <c r="AF89" i="4" s="1"/>
  <c r="X77" i="4"/>
  <c r="AB77" i="4" s="1"/>
  <c r="AF77" i="4" s="1"/>
  <c r="X81" i="4"/>
  <c r="AB81" i="4" s="1"/>
  <c r="AF81" i="4" s="1"/>
  <c r="X94" i="4"/>
  <c r="AB94" i="4" s="1"/>
  <c r="AF94" i="4" s="1"/>
  <c r="X119" i="4"/>
  <c r="AB119" i="4" s="1"/>
  <c r="AF119" i="4" s="1"/>
  <c r="X125" i="4"/>
  <c r="AB125" i="4" s="1"/>
  <c r="AF125" i="4" s="1"/>
  <c r="X120" i="4"/>
  <c r="AB120" i="4" s="1"/>
  <c r="AF120" i="4" s="1"/>
  <c r="X111" i="4"/>
  <c r="AB111" i="4" s="1"/>
  <c r="AF111" i="4" s="1"/>
  <c r="X95" i="4"/>
  <c r="AB95" i="4" s="1"/>
  <c r="AF95" i="4" s="1"/>
  <c r="X70" i="4"/>
  <c r="AB70" i="4" s="1"/>
  <c r="AF70" i="4" s="1"/>
  <c r="X90" i="4"/>
  <c r="AB90" i="4" s="1"/>
  <c r="AF90" i="4" s="1"/>
  <c r="X97" i="4"/>
  <c r="AB97" i="4" s="1"/>
  <c r="AF97" i="4" s="1"/>
  <c r="X61" i="4"/>
  <c r="AB61" i="4" s="1"/>
  <c r="AF61" i="4" s="1"/>
  <c r="X123" i="4"/>
  <c r="AB123" i="4" s="1"/>
  <c r="AF123" i="4" s="1"/>
  <c r="X79" i="4"/>
  <c r="AB79" i="4" s="1"/>
  <c r="AF79" i="4" s="1"/>
  <c r="X91" i="4"/>
  <c r="AB91" i="4" s="1"/>
  <c r="AF91" i="4" s="1"/>
  <c r="X118" i="4"/>
  <c r="AB118" i="4" s="1"/>
  <c r="AF118" i="4" s="1"/>
  <c r="X76" i="4"/>
  <c r="AB76" i="4" s="1"/>
  <c r="AF76" i="4" s="1"/>
  <c r="X63" i="4"/>
  <c r="AB63" i="4" s="1"/>
  <c r="AF63" i="4" s="1"/>
  <c r="X110" i="4"/>
  <c r="AB110" i="4" s="1"/>
  <c r="AF110" i="4" s="1"/>
  <c r="X80" i="4"/>
  <c r="AB80" i="4" s="1"/>
  <c r="AF80" i="4" s="1"/>
  <c r="X93" i="4"/>
  <c r="AB93" i="4" s="1"/>
  <c r="AF93" i="4" s="1"/>
  <c r="X71" i="4"/>
  <c r="AB71" i="4" s="1"/>
  <c r="AF71" i="4" s="1"/>
  <c r="X98" i="4"/>
  <c r="AB98" i="4" s="1"/>
  <c r="AF98" i="4" s="1"/>
  <c r="X92" i="4"/>
  <c r="AB92" i="4" s="1"/>
  <c r="AF92" i="4" s="1"/>
  <c r="X133" i="4"/>
  <c r="AB133" i="4" s="1"/>
  <c r="AF133" i="4" s="1"/>
  <c r="X64" i="4"/>
  <c r="AB64" i="4" s="1"/>
  <c r="AF64" i="4" s="1"/>
  <c r="X121" i="4"/>
  <c r="AB121" i="4" s="1"/>
  <c r="AF121" i="4" s="1"/>
  <c r="X116" i="4"/>
  <c r="AB116" i="4" s="1"/>
  <c r="AF116" i="4" s="1"/>
  <c r="X82" i="4"/>
  <c r="AB82" i="4" s="1"/>
  <c r="AF82" i="4" s="1"/>
  <c r="X108" i="4"/>
  <c r="AB108" i="4" s="1"/>
  <c r="AF108" i="4" s="1"/>
  <c r="X122" i="4"/>
  <c r="AB122" i="4" s="1"/>
  <c r="AF122" i="4" s="1"/>
  <c r="X75" i="4"/>
  <c r="AB75" i="4" s="1"/>
  <c r="AF75" i="4" s="1"/>
  <c r="X100" i="4"/>
  <c r="AB100" i="4" s="1"/>
  <c r="AF100" i="4" s="1"/>
  <c r="X68" i="4"/>
  <c r="AB68" i="4" s="1"/>
  <c r="AF68" i="4" s="1"/>
  <c r="X72" i="4"/>
  <c r="AB72" i="4" s="1"/>
  <c r="AF72" i="4" s="1"/>
  <c r="X130" i="4"/>
  <c r="AB130" i="4" s="1"/>
  <c r="AF130" i="4" s="1"/>
  <c r="X115" i="4"/>
  <c r="AB115" i="4" s="1"/>
  <c r="AF115" i="4" s="1"/>
  <c r="X96" i="4"/>
  <c r="AB96" i="4" s="1"/>
  <c r="AF96" i="4" s="1"/>
  <c r="X106" i="4"/>
  <c r="AB106" i="4" s="1"/>
  <c r="AF106" i="4" s="1"/>
  <c r="X124" i="4"/>
  <c r="AB124" i="4" s="1"/>
  <c r="AF124" i="4" s="1"/>
  <c r="X84" i="4"/>
  <c r="AB84" i="4" s="1"/>
  <c r="AF84" i="4" s="1"/>
  <c r="X99" i="4"/>
  <c r="AB99" i="4" s="1"/>
  <c r="AF99" i="4" s="1"/>
  <c r="X131" i="4"/>
  <c r="AB131" i="4" s="1"/>
  <c r="AF131" i="4" s="1"/>
  <c r="X69" i="4"/>
  <c r="AB69" i="4" s="1"/>
  <c r="AF69" i="4" s="1"/>
  <c r="X78" i="4"/>
  <c r="AB78" i="4" s="1"/>
  <c r="AF78" i="4" s="1"/>
  <c r="X128" i="4"/>
  <c r="AB128" i="4" s="1"/>
  <c r="AF128" i="4" s="1"/>
  <c r="X73" i="4"/>
  <c r="AB73" i="4" s="1"/>
  <c r="AF73" i="4" s="1"/>
  <c r="X113" i="4"/>
  <c r="AB113" i="4" s="1"/>
  <c r="AF113" i="4" s="1"/>
  <c r="X103" i="4"/>
  <c r="AB103" i="4" s="1"/>
  <c r="AF103" i="4" s="1"/>
  <c r="X114" i="4"/>
  <c r="AB114" i="4" s="1"/>
  <c r="AF114" i="4" s="1"/>
  <c r="X66" i="4"/>
  <c r="AB66" i="4" s="1"/>
  <c r="AF66" i="4" s="1"/>
  <c r="X85" i="4"/>
  <c r="AB85" i="4" s="1"/>
  <c r="AF85" i="4" s="1"/>
  <c r="X101" i="4"/>
  <c r="AB101" i="4" s="1"/>
  <c r="AF101" i="4" s="1"/>
  <c r="X74" i="4"/>
  <c r="AB74" i="4" s="1"/>
  <c r="AF74" i="4" s="1"/>
  <c r="X86" i="4"/>
  <c r="AB86" i="4" s="1"/>
  <c r="AF86" i="4" s="1"/>
  <c r="X107" i="4"/>
  <c r="AB107" i="4" s="1"/>
  <c r="AF107" i="4" s="1"/>
  <c r="X126" i="4"/>
  <c r="AB126" i="4" s="1"/>
  <c r="AF126" i="4" s="1"/>
  <c r="X102" i="4"/>
  <c r="AB102" i="4" s="1"/>
  <c r="AF102" i="4" s="1"/>
  <c r="X67" i="4"/>
  <c r="AB67" i="4" s="1"/>
  <c r="AF67" i="4" s="1"/>
  <c r="X117" i="4"/>
  <c r="AB117" i="4" s="1"/>
  <c r="AF117" i="4" s="1"/>
  <c r="X65" i="4"/>
  <c r="AB65" i="4" s="1"/>
  <c r="AF65" i="4" s="1"/>
  <c r="X104" i="4"/>
  <c r="AB104" i="4" s="1"/>
  <c r="AF104" i="4" s="1"/>
  <c r="X129" i="4"/>
  <c r="AB129" i="4" s="1"/>
  <c r="AF129" i="4" s="1"/>
  <c r="X87" i="4"/>
  <c r="AB87" i="4" s="1"/>
  <c r="AF87" i="4" s="1"/>
  <c r="X105" i="4"/>
  <c r="AB105" i="4" s="1"/>
  <c r="AF105" i="4" s="1"/>
  <c r="X88" i="4"/>
  <c r="AB88" i="4" s="1"/>
  <c r="AF88" i="4" s="1"/>
  <c r="X62" i="4"/>
  <c r="AB62" i="4" s="1"/>
  <c r="AF62" i="4" s="1"/>
  <c r="X127" i="4"/>
  <c r="AB127" i="4" s="1"/>
  <c r="AF127" i="4" s="1"/>
  <c r="X109" i="4"/>
  <c r="AB109" i="4" s="1"/>
  <c r="AF109" i="4" s="1"/>
  <c r="N14" i="3"/>
  <c r="N12" i="3"/>
  <c r="N13" i="3" s="1"/>
  <c r="K5" i="3"/>
  <c r="K10" i="3" s="1"/>
  <c r="K12" i="3" s="1"/>
  <c r="L5" i="3"/>
  <c r="L10" i="3" s="1"/>
  <c r="L12" i="3" s="1"/>
  <c r="L13" i="3" s="1"/>
  <c r="Z47" i="4" l="1"/>
  <c r="Z35" i="4"/>
  <c r="Z60" i="4"/>
  <c r="Z58" i="4"/>
  <c r="Z48" i="4"/>
  <c r="Z46" i="4"/>
  <c r="Z34" i="4"/>
  <c r="Z59" i="4"/>
  <c r="Z21" i="4"/>
  <c r="Z12" i="4"/>
  <c r="Z10" i="4"/>
  <c r="Z23" i="4"/>
  <c r="Z22" i="4"/>
  <c r="Z11" i="4"/>
  <c r="AA35" i="4"/>
  <c r="AA47" i="4"/>
  <c r="AA60" i="4"/>
  <c r="AA34" i="4"/>
  <c r="AA48" i="4"/>
  <c r="AA59" i="4"/>
  <c r="AA46" i="4"/>
  <c r="AA58" i="4"/>
  <c r="AA10" i="4"/>
  <c r="AA11" i="4"/>
  <c r="AA22" i="4"/>
  <c r="AA12" i="4"/>
  <c r="AA23" i="4"/>
  <c r="AA21" i="4"/>
  <c r="Y35" i="4"/>
  <c r="Y47" i="4"/>
  <c r="Y60" i="4"/>
  <c r="Y59" i="4"/>
  <c r="Y34" i="4"/>
  <c r="Y58" i="4"/>
  <c r="Y48" i="4"/>
  <c r="Y46" i="4"/>
  <c r="Y22" i="4"/>
  <c r="Y10" i="4"/>
  <c r="Y23" i="4"/>
  <c r="Y21" i="4"/>
  <c r="Y11" i="4"/>
  <c r="Y12" i="4"/>
  <c r="R33" i="4"/>
  <c r="J34" i="4"/>
  <c r="T32" i="4"/>
  <c r="W32" i="4"/>
  <c r="V32" i="4"/>
  <c r="U32" i="4"/>
  <c r="Y42" i="4"/>
  <c r="Y55" i="4"/>
  <c r="Y41" i="4"/>
  <c r="Y43" i="4"/>
  <c r="Y32" i="4"/>
  <c r="Y56" i="4"/>
  <c r="Y40" i="4"/>
  <c r="Y39" i="4"/>
  <c r="Y54" i="4"/>
  <c r="Y44" i="4"/>
  <c r="Y31" i="4"/>
  <c r="Y45" i="4"/>
  <c r="Y37" i="4"/>
  <c r="Y36" i="4"/>
  <c r="Y57" i="4"/>
  <c r="Y33" i="4"/>
  <c r="Y52" i="4"/>
  <c r="Y51" i="4"/>
  <c r="Y50" i="4"/>
  <c r="Y49" i="4"/>
  <c r="Y53" i="4"/>
  <c r="Y38" i="4"/>
  <c r="Y13" i="4"/>
  <c r="Y19" i="4"/>
  <c r="Y29" i="4"/>
  <c r="Y2" i="4"/>
  <c r="Y5" i="4"/>
  <c r="Y7" i="4"/>
  <c r="Y17" i="4"/>
  <c r="Y6" i="4"/>
  <c r="Y20" i="4"/>
  <c r="Y16" i="4"/>
  <c r="Y28" i="4"/>
  <c r="Y27" i="4"/>
  <c r="Y14" i="4"/>
  <c r="Y8" i="4"/>
  <c r="Y15" i="4"/>
  <c r="Y30" i="4"/>
  <c r="Y26" i="4"/>
  <c r="Y18" i="4"/>
  <c r="Y3" i="4"/>
  <c r="Y4" i="4"/>
  <c r="Y25" i="4"/>
  <c r="Y9" i="4"/>
  <c r="Y24" i="4"/>
  <c r="L15" i="3"/>
  <c r="Z51" i="4"/>
  <c r="Z37" i="4"/>
  <c r="Z40" i="4"/>
  <c r="Z32" i="4"/>
  <c r="Z55" i="4"/>
  <c r="Z56" i="4"/>
  <c r="Z54" i="4"/>
  <c r="Z41" i="4"/>
  <c r="Z39" i="4"/>
  <c r="Z42" i="4"/>
  <c r="Z44" i="4"/>
  <c r="Z31" i="4"/>
  <c r="Z36" i="4"/>
  <c r="Z52" i="4"/>
  <c r="Z33" i="4"/>
  <c r="Z45" i="4"/>
  <c r="Z53" i="4"/>
  <c r="Z38" i="4"/>
  <c r="Z49" i="4"/>
  <c r="Z57" i="4"/>
  <c r="Z50" i="4"/>
  <c r="Z43" i="4"/>
  <c r="Z28" i="4"/>
  <c r="Z17" i="4"/>
  <c r="Z6" i="4"/>
  <c r="Z4" i="4"/>
  <c r="Z20" i="4"/>
  <c r="Z2" i="4"/>
  <c r="Z26" i="4"/>
  <c r="Z14" i="4"/>
  <c r="Z25" i="4"/>
  <c r="Z3" i="4"/>
  <c r="Z8" i="4"/>
  <c r="Z29" i="4"/>
  <c r="Z18" i="4"/>
  <c r="Z24" i="4"/>
  <c r="Z27" i="4"/>
  <c r="Z5" i="4"/>
  <c r="Z30" i="4"/>
  <c r="Z9" i="4"/>
  <c r="Z15" i="4"/>
  <c r="Z19" i="4"/>
  <c r="Z13" i="4"/>
  <c r="Z16" i="4"/>
  <c r="Z7" i="4"/>
  <c r="M15" i="3"/>
  <c r="L14" i="3"/>
  <c r="K14" i="3"/>
  <c r="AA42" i="4"/>
  <c r="AA56" i="4"/>
  <c r="AA55" i="4"/>
  <c r="AA51" i="4"/>
  <c r="AA43" i="4"/>
  <c r="AA40" i="4"/>
  <c r="AA32" i="4"/>
  <c r="AA54" i="4"/>
  <c r="AA41" i="4"/>
  <c r="AA53" i="4"/>
  <c r="AA44" i="4"/>
  <c r="AA31" i="4"/>
  <c r="AA52" i="4"/>
  <c r="AA57" i="4"/>
  <c r="AA36" i="4"/>
  <c r="AA45" i="4"/>
  <c r="AA50" i="4"/>
  <c r="AA38" i="4"/>
  <c r="AA33" i="4"/>
  <c r="AA49" i="4"/>
  <c r="AA37" i="4"/>
  <c r="AA39" i="4"/>
  <c r="AA9" i="4"/>
  <c r="AA13" i="4"/>
  <c r="AA30" i="4"/>
  <c r="AA15" i="4"/>
  <c r="AA29" i="4"/>
  <c r="AA24" i="4"/>
  <c r="AA6" i="4"/>
  <c r="AA2" i="4"/>
  <c r="AA20" i="4"/>
  <c r="AA7" i="4"/>
  <c r="AA17" i="4"/>
  <c r="AA19" i="4"/>
  <c r="AA3" i="4"/>
  <c r="AA5" i="4"/>
  <c r="AA14" i="4"/>
  <c r="AA27" i="4"/>
  <c r="AA28" i="4"/>
  <c r="AA16" i="4"/>
  <c r="AA18" i="4"/>
  <c r="AA26" i="4"/>
  <c r="AA8" i="4"/>
  <c r="AA25" i="4"/>
  <c r="AA4" i="4"/>
  <c r="N15" i="3"/>
  <c r="M14" i="3"/>
  <c r="K13" i="3"/>
  <c r="X58" i="4" l="1"/>
  <c r="X48" i="4"/>
  <c r="X46" i="4"/>
  <c r="X22" i="4"/>
  <c r="X12" i="4"/>
  <c r="X47" i="4"/>
  <c r="X35" i="4"/>
  <c r="X34" i="4"/>
  <c r="X23" i="4"/>
  <c r="X10" i="4"/>
  <c r="X60" i="4"/>
  <c r="X21" i="4"/>
  <c r="X59" i="4"/>
  <c r="X11" i="4"/>
  <c r="R34" i="4"/>
  <c r="J35" i="4"/>
  <c r="U33" i="4"/>
  <c r="V33" i="4"/>
  <c r="T33" i="4"/>
  <c r="W33" i="4"/>
  <c r="L11" i="3"/>
  <c r="AC17" i="4" s="1"/>
  <c r="AG17" i="4" s="1"/>
  <c r="M11" i="3"/>
  <c r="AD18" i="4" s="1"/>
  <c r="AH18" i="4" s="1"/>
  <c r="X38" i="4"/>
  <c r="X13" i="4"/>
  <c r="X45" i="4"/>
  <c r="X57" i="4"/>
  <c r="X3" i="4"/>
  <c r="X8" i="4"/>
  <c r="X56" i="4"/>
  <c r="X37" i="4"/>
  <c r="X52" i="4"/>
  <c r="X44" i="4"/>
  <c r="X50" i="4"/>
  <c r="X27" i="4"/>
  <c r="X28" i="4"/>
  <c r="X33" i="4"/>
  <c r="X17" i="4"/>
  <c r="X39" i="4"/>
  <c r="X40" i="4"/>
  <c r="X24" i="4"/>
  <c r="X41" i="4"/>
  <c r="X29" i="4"/>
  <c r="X2" i="4"/>
  <c r="X16" i="4"/>
  <c r="X30" i="4"/>
  <c r="X32" i="4"/>
  <c r="X54" i="4"/>
  <c r="X7" i="4"/>
  <c r="X15" i="4"/>
  <c r="K15" i="3"/>
  <c r="X36" i="4"/>
  <c r="X9" i="4"/>
  <c r="X49" i="4"/>
  <c r="X31" i="4"/>
  <c r="X19" i="4"/>
  <c r="X55" i="4"/>
  <c r="X18" i="4"/>
  <c r="X5" i="4"/>
  <c r="X14" i="4"/>
  <c r="X6" i="4"/>
  <c r="X4" i="4"/>
  <c r="X43" i="4"/>
  <c r="X20" i="4"/>
  <c r="X25" i="4"/>
  <c r="X42" i="4"/>
  <c r="X51" i="4"/>
  <c r="X26" i="4"/>
  <c r="X53" i="4"/>
  <c r="N11" i="3"/>
  <c r="AE12" i="4" s="1"/>
  <c r="AI12" i="4" s="1"/>
  <c r="AD22" i="4" l="1"/>
  <c r="AH22" i="4" s="1"/>
  <c r="AE34" i="4"/>
  <c r="AI34" i="4" s="1"/>
  <c r="AE46" i="4"/>
  <c r="AI46" i="4" s="1"/>
  <c r="AD10" i="4"/>
  <c r="AH10" i="4" s="1"/>
  <c r="AD31" i="4"/>
  <c r="AH31" i="4" s="1"/>
  <c r="AC46" i="4"/>
  <c r="AG46" i="4" s="1"/>
  <c r="AE35" i="4"/>
  <c r="AI35" i="4" s="1"/>
  <c r="AD58" i="4"/>
  <c r="AH58" i="4" s="1"/>
  <c r="AE58" i="4"/>
  <c r="AI58" i="4" s="1"/>
  <c r="AD47" i="4"/>
  <c r="AH47" i="4" s="1"/>
  <c r="AC12" i="4"/>
  <c r="AG12" i="4" s="1"/>
  <c r="AC35" i="4"/>
  <c r="AG35" i="4" s="1"/>
  <c r="AD21" i="4"/>
  <c r="AH21" i="4" s="1"/>
  <c r="AC22" i="4"/>
  <c r="AG22" i="4" s="1"/>
  <c r="AD48" i="4"/>
  <c r="AH48" i="4" s="1"/>
  <c r="AD55" i="4"/>
  <c r="AH55" i="4" s="1"/>
  <c r="AD12" i="4"/>
  <c r="AH12" i="4" s="1"/>
  <c r="AD46" i="4"/>
  <c r="AH46" i="4" s="1"/>
  <c r="AC23" i="4"/>
  <c r="AG23" i="4" s="1"/>
  <c r="AE59" i="4"/>
  <c r="AI59" i="4" s="1"/>
  <c r="AD11" i="4"/>
  <c r="AH11" i="4" s="1"/>
  <c r="AE10" i="4"/>
  <c r="AI10" i="4" s="1"/>
  <c r="AE48" i="4"/>
  <c r="AI48" i="4" s="1"/>
  <c r="AE47" i="4"/>
  <c r="AI47" i="4" s="1"/>
  <c r="AD60" i="4"/>
  <c r="AH60" i="4" s="1"/>
  <c r="AC58" i="4"/>
  <c r="AG58" i="4" s="1"/>
  <c r="AD23" i="4"/>
  <c r="AH23" i="4" s="1"/>
  <c r="AE11" i="4"/>
  <c r="AI11" i="4" s="1"/>
  <c r="AE60" i="4"/>
  <c r="AI60" i="4" s="1"/>
  <c r="AC11" i="4"/>
  <c r="AG11" i="4" s="1"/>
  <c r="AC21" i="4"/>
  <c r="AG21" i="4" s="1"/>
  <c r="AD34" i="4"/>
  <c r="AH34" i="4" s="1"/>
  <c r="AC59" i="4"/>
  <c r="AG59" i="4" s="1"/>
  <c r="AE22" i="4"/>
  <c r="AI22" i="4" s="1"/>
  <c r="AE23" i="4"/>
  <c r="AI23" i="4" s="1"/>
  <c r="AD35" i="4"/>
  <c r="AH35" i="4" s="1"/>
  <c r="AC34" i="4"/>
  <c r="AG34" i="4" s="1"/>
  <c r="AC48" i="4"/>
  <c r="AG48" i="4" s="1"/>
  <c r="AC47" i="4"/>
  <c r="AG47" i="4" s="1"/>
  <c r="AC10" i="4"/>
  <c r="AG10" i="4" s="1"/>
  <c r="AE31" i="4"/>
  <c r="AI31" i="4" s="1"/>
  <c r="AC60" i="4"/>
  <c r="AG60" i="4" s="1"/>
  <c r="AD59" i="4"/>
  <c r="AH59" i="4" s="1"/>
  <c r="AE21" i="4"/>
  <c r="AI21" i="4" s="1"/>
  <c r="R35" i="4"/>
  <c r="J36" i="4"/>
  <c r="U34" i="4"/>
  <c r="W34" i="4"/>
  <c r="V34" i="4"/>
  <c r="T34" i="4"/>
  <c r="AC42" i="4"/>
  <c r="AG42" i="4" s="1"/>
  <c r="AE16" i="4"/>
  <c r="AI16" i="4" s="1"/>
  <c r="AD39" i="4"/>
  <c r="AH39" i="4" s="1"/>
  <c r="AE29" i="4"/>
  <c r="AI29" i="4" s="1"/>
  <c r="AC25" i="4"/>
  <c r="AG25" i="4" s="1"/>
  <c r="AC52" i="4"/>
  <c r="AG52" i="4" s="1"/>
  <c r="AD54" i="4"/>
  <c r="AH54" i="4" s="1"/>
  <c r="AE40" i="4"/>
  <c r="AI40" i="4" s="1"/>
  <c r="AD16" i="4"/>
  <c r="AH16" i="4" s="1"/>
  <c r="AD36" i="4"/>
  <c r="AH36" i="4" s="1"/>
  <c r="AC40" i="4"/>
  <c r="AG40" i="4" s="1"/>
  <c r="AC18" i="4"/>
  <c r="AG18" i="4" s="1"/>
  <c r="AE8" i="4"/>
  <c r="AI8" i="4" s="1"/>
  <c r="AE18" i="4"/>
  <c r="AI18" i="4" s="1"/>
  <c r="AC57" i="4"/>
  <c r="AG57" i="4" s="1"/>
  <c r="AC41" i="4"/>
  <c r="AG41" i="4" s="1"/>
  <c r="AD44" i="4"/>
  <c r="AH44" i="4" s="1"/>
  <c r="AC20" i="4"/>
  <c r="AG20" i="4" s="1"/>
  <c r="AC2" i="4"/>
  <c r="AG2" i="4" s="1"/>
  <c r="AE19" i="4"/>
  <c r="AI19" i="4" s="1"/>
  <c r="AD20" i="4"/>
  <c r="AH20" i="4" s="1"/>
  <c r="AC26" i="4"/>
  <c r="AG26" i="4" s="1"/>
  <c r="AC44" i="4"/>
  <c r="AG44" i="4" s="1"/>
  <c r="AD41" i="4"/>
  <c r="AH41" i="4" s="1"/>
  <c r="AE6" i="4"/>
  <c r="AI6" i="4" s="1"/>
  <c r="AE52" i="4"/>
  <c r="AI52" i="4" s="1"/>
  <c r="AD45" i="4"/>
  <c r="AH45" i="4" s="1"/>
  <c r="AC45" i="4"/>
  <c r="AG45" i="4" s="1"/>
  <c r="AD29" i="4"/>
  <c r="AH29" i="4" s="1"/>
  <c r="AC43" i="4"/>
  <c r="AG43" i="4" s="1"/>
  <c r="AE27" i="4"/>
  <c r="AI27" i="4" s="1"/>
  <c r="AE55" i="4"/>
  <c r="AI55" i="4" s="1"/>
  <c r="AC29" i="4"/>
  <c r="AG29" i="4" s="1"/>
  <c r="AC16" i="4"/>
  <c r="AG16" i="4" s="1"/>
  <c r="AD17" i="4"/>
  <c r="AH17" i="4" s="1"/>
  <c r="AE43" i="4"/>
  <c r="AI43" i="4" s="1"/>
  <c r="AD32" i="4"/>
  <c r="AH32" i="4" s="1"/>
  <c r="AE36" i="4"/>
  <c r="AI36" i="4" s="1"/>
  <c r="AC19" i="4"/>
  <c r="AG19" i="4" s="1"/>
  <c r="AD43" i="4"/>
  <c r="AH43" i="4" s="1"/>
  <c r="AC56" i="4"/>
  <c r="AG56" i="4" s="1"/>
  <c r="AE51" i="4"/>
  <c r="AI51" i="4" s="1"/>
  <c r="AD4" i="4"/>
  <c r="AH4" i="4" s="1"/>
  <c r="AC27" i="4"/>
  <c r="AG27" i="4" s="1"/>
  <c r="AE25" i="4"/>
  <c r="AI25" i="4" s="1"/>
  <c r="K11" i="3"/>
  <c r="AB14" i="4" s="1"/>
  <c r="AF14" i="4" s="1"/>
  <c r="AD26" i="4"/>
  <c r="AH26" i="4" s="1"/>
  <c r="AD6" i="4"/>
  <c r="AH6" i="4" s="1"/>
  <c r="AC24" i="4"/>
  <c r="AG24" i="4" s="1"/>
  <c r="AE9" i="4"/>
  <c r="AI9" i="4" s="1"/>
  <c r="AE32" i="4"/>
  <c r="AI32" i="4" s="1"/>
  <c r="AD2" i="4"/>
  <c r="AH2" i="4" s="1"/>
  <c r="AD8" i="4"/>
  <c r="AH8" i="4" s="1"/>
  <c r="AE13" i="4"/>
  <c r="AI13" i="4" s="1"/>
  <c r="AE50" i="4"/>
  <c r="AI50" i="4" s="1"/>
  <c r="AC30" i="4"/>
  <c r="AG30" i="4" s="1"/>
  <c r="AD24" i="4"/>
  <c r="AH24" i="4" s="1"/>
  <c r="AE49" i="4"/>
  <c r="AI49" i="4" s="1"/>
  <c r="AD13" i="4"/>
  <c r="AH13" i="4" s="1"/>
  <c r="AD30" i="4"/>
  <c r="AH30" i="4" s="1"/>
  <c r="AD25" i="4"/>
  <c r="AH25" i="4" s="1"/>
  <c r="AE14" i="4"/>
  <c r="AI14" i="4" s="1"/>
  <c r="AE37" i="4"/>
  <c r="AI37" i="4" s="1"/>
  <c r="AC14" i="4"/>
  <c r="AG14" i="4" s="1"/>
  <c r="AE38" i="4"/>
  <c r="AI38" i="4" s="1"/>
  <c r="AD56" i="4"/>
  <c r="AH56" i="4" s="1"/>
  <c r="AE56" i="4"/>
  <c r="AI56" i="4" s="1"/>
  <c r="AC28" i="4"/>
  <c r="AG28" i="4" s="1"/>
  <c r="AD51" i="4"/>
  <c r="AH51" i="4" s="1"/>
  <c r="AD33" i="4"/>
  <c r="AH33" i="4" s="1"/>
  <c r="AE42" i="4"/>
  <c r="AI42" i="4" s="1"/>
  <c r="AC51" i="4"/>
  <c r="AG51" i="4" s="1"/>
  <c r="AC49" i="4"/>
  <c r="AG49" i="4" s="1"/>
  <c r="AD15" i="4"/>
  <c r="AH15" i="4" s="1"/>
  <c r="AD14" i="4"/>
  <c r="AH14" i="4" s="1"/>
  <c r="AE3" i="4"/>
  <c r="AI3" i="4" s="1"/>
  <c r="AE54" i="4"/>
  <c r="AI54" i="4" s="1"/>
  <c r="AC7" i="4"/>
  <c r="AG7" i="4" s="1"/>
  <c r="AE44" i="4"/>
  <c r="AI44" i="4" s="1"/>
  <c r="AC39" i="4"/>
  <c r="AG39" i="4" s="1"/>
  <c r="AD57" i="4"/>
  <c r="AH57" i="4" s="1"/>
  <c r="AE20" i="4"/>
  <c r="AI20" i="4" s="1"/>
  <c r="AC4" i="4"/>
  <c r="AG4" i="4" s="1"/>
  <c r="AC5" i="4"/>
  <c r="AG5" i="4" s="1"/>
  <c r="AC55" i="4"/>
  <c r="AG55" i="4" s="1"/>
  <c r="AC53" i="4"/>
  <c r="AG53" i="4" s="1"/>
  <c r="AD53" i="4"/>
  <c r="AH53" i="4" s="1"/>
  <c r="AD40" i="4"/>
  <c r="AH40" i="4" s="1"/>
  <c r="AE39" i="4"/>
  <c r="AI39" i="4" s="1"/>
  <c r="AE7" i="4"/>
  <c r="AI7" i="4" s="1"/>
  <c r="AC38" i="4"/>
  <c r="AG38" i="4" s="1"/>
  <c r="AC54" i="4"/>
  <c r="AG54" i="4" s="1"/>
  <c r="AE24" i="4"/>
  <c r="AI24" i="4" s="1"/>
  <c r="AD5" i="4"/>
  <c r="AH5" i="4" s="1"/>
  <c r="AD52" i="4"/>
  <c r="AH52" i="4" s="1"/>
  <c r="AE33" i="4"/>
  <c r="AI33" i="4" s="1"/>
  <c r="AC6" i="4"/>
  <c r="AG6" i="4" s="1"/>
  <c r="AD7" i="4"/>
  <c r="AH7" i="4" s="1"/>
  <c r="AE26" i="4"/>
  <c r="AI26" i="4" s="1"/>
  <c r="AE5" i="4"/>
  <c r="AI5" i="4" s="1"/>
  <c r="AC32" i="4"/>
  <c r="AG32" i="4" s="1"/>
  <c r="AD3" i="4"/>
  <c r="AH3" i="4" s="1"/>
  <c r="AC13" i="4"/>
  <c r="AG13" i="4" s="1"/>
  <c r="AE45" i="4"/>
  <c r="AI45" i="4" s="1"/>
  <c r="AC37" i="4"/>
  <c r="AG37" i="4" s="1"/>
  <c r="AE15" i="4"/>
  <c r="AI15" i="4" s="1"/>
  <c r="AC31" i="4"/>
  <c r="AG31" i="4" s="1"/>
  <c r="AD9" i="4"/>
  <c r="AH9" i="4" s="1"/>
  <c r="AD42" i="4"/>
  <c r="AH42" i="4" s="1"/>
  <c r="AE4" i="4"/>
  <c r="AI4" i="4" s="1"/>
  <c r="AE57" i="4"/>
  <c r="AI57" i="4" s="1"/>
  <c r="AC36" i="4"/>
  <c r="AG36" i="4" s="1"/>
  <c r="AE30" i="4"/>
  <c r="AI30" i="4" s="1"/>
  <c r="AE2" i="4"/>
  <c r="AI2" i="4" s="1"/>
  <c r="AD37" i="4"/>
  <c r="AH37" i="4" s="1"/>
  <c r="AE17" i="4"/>
  <c r="AI17" i="4" s="1"/>
  <c r="AD28" i="4"/>
  <c r="AH28" i="4" s="1"/>
  <c r="AD19" i="4"/>
  <c r="AH19" i="4" s="1"/>
  <c r="AE53" i="4"/>
  <c r="AI53" i="4" s="1"/>
  <c r="AC33" i="4"/>
  <c r="AG33" i="4" s="1"/>
  <c r="AE28" i="4"/>
  <c r="AI28" i="4" s="1"/>
  <c r="AD38" i="4"/>
  <c r="AH38" i="4" s="1"/>
  <c r="AC9" i="4"/>
  <c r="AG9" i="4" s="1"/>
  <c r="AC8" i="4"/>
  <c r="AG8" i="4" s="1"/>
  <c r="AD50" i="4"/>
  <c r="AH50" i="4" s="1"/>
  <c r="AE41" i="4"/>
  <c r="AI41" i="4" s="1"/>
  <c r="AC50" i="4"/>
  <c r="AG50" i="4" s="1"/>
  <c r="AD49" i="4"/>
  <c r="AH49" i="4" s="1"/>
  <c r="AC15" i="4"/>
  <c r="AG15" i="4" s="1"/>
  <c r="AD27" i="4"/>
  <c r="AH27" i="4" s="1"/>
  <c r="AC3" i="4"/>
  <c r="AG3" i="4" s="1"/>
  <c r="AB48" i="4" l="1"/>
  <c r="AF48" i="4" s="1"/>
  <c r="AB46" i="4"/>
  <c r="AF46" i="4" s="1"/>
  <c r="AB12" i="4"/>
  <c r="AF12" i="4" s="1"/>
  <c r="AB10" i="4"/>
  <c r="AF10" i="4" s="1"/>
  <c r="AB22" i="4"/>
  <c r="AF22" i="4" s="1"/>
  <c r="AB35" i="4"/>
  <c r="AF35" i="4" s="1"/>
  <c r="AB60" i="4"/>
  <c r="AF60" i="4" s="1"/>
  <c r="AB47" i="4"/>
  <c r="AF47" i="4" s="1"/>
  <c r="AB23" i="4"/>
  <c r="AF23" i="4" s="1"/>
  <c r="AB34" i="4"/>
  <c r="AF34" i="4" s="1"/>
  <c r="AB59" i="4"/>
  <c r="AF59" i="4" s="1"/>
  <c r="AB58" i="4"/>
  <c r="AF58" i="4" s="1"/>
  <c r="AB21" i="4"/>
  <c r="AF21" i="4" s="1"/>
  <c r="AB11" i="4"/>
  <c r="AF11" i="4" s="1"/>
  <c r="R36" i="4"/>
  <c r="J37" i="4"/>
  <c r="T35" i="4"/>
  <c r="U35" i="4"/>
  <c r="V35" i="4"/>
  <c r="W35" i="4"/>
  <c r="AB42" i="4"/>
  <c r="AF42" i="4" s="1"/>
  <c r="AB52" i="4"/>
  <c r="AF52" i="4" s="1"/>
  <c r="AB4" i="4"/>
  <c r="AF4" i="4" s="1"/>
  <c r="AB6" i="4"/>
  <c r="AF6" i="4" s="1"/>
  <c r="AB50" i="4"/>
  <c r="AF50" i="4" s="1"/>
  <c r="AB30" i="4"/>
  <c r="AF30" i="4" s="1"/>
  <c r="AB25" i="4"/>
  <c r="AF25" i="4" s="1"/>
  <c r="AB5" i="4"/>
  <c r="AF5" i="4" s="1"/>
  <c r="F7" i="3"/>
  <c r="F8" i="3"/>
  <c r="F6" i="3"/>
  <c r="F3" i="3"/>
  <c r="F4" i="3" s="1"/>
  <c r="F9" i="3" s="1"/>
  <c r="AB55" i="4"/>
  <c r="AF55" i="4" s="1"/>
  <c r="E8" i="3"/>
  <c r="E3" i="3"/>
  <c r="E4" i="3" s="1"/>
  <c r="E9" i="3" s="1"/>
  <c r="E6" i="3"/>
  <c r="E7" i="3"/>
  <c r="AB39" i="4"/>
  <c r="AF39" i="4" s="1"/>
  <c r="AB43" i="4"/>
  <c r="AF43" i="4" s="1"/>
  <c r="AB9" i="4"/>
  <c r="AF9" i="4" s="1"/>
  <c r="AB31" i="4"/>
  <c r="AF31" i="4" s="1"/>
  <c r="AB8" i="4"/>
  <c r="AF8" i="4" s="1"/>
  <c r="G6" i="3"/>
  <c r="G7" i="3"/>
  <c r="G8" i="3"/>
  <c r="AB26" i="4"/>
  <c r="AF26" i="4" s="1"/>
  <c r="AB19" i="4"/>
  <c r="AF19" i="4" s="1"/>
  <c r="AB13" i="4"/>
  <c r="AF13" i="4" s="1"/>
  <c r="AB28" i="4"/>
  <c r="AF28" i="4" s="1"/>
  <c r="AB44" i="4"/>
  <c r="AF44" i="4" s="1"/>
  <c r="AB38" i="4"/>
  <c r="AF38" i="4" s="1"/>
  <c r="AB40" i="4"/>
  <c r="AF40" i="4" s="1"/>
  <c r="AB7" i="4"/>
  <c r="AF7" i="4" s="1"/>
  <c r="AB17" i="4"/>
  <c r="AF17" i="4" s="1"/>
  <c r="AB32" i="4"/>
  <c r="AF32" i="4" s="1"/>
  <c r="AB53" i="4"/>
  <c r="AF53" i="4" s="1"/>
  <c r="AB20" i="4"/>
  <c r="AF20" i="4" s="1"/>
  <c r="AB3" i="4"/>
  <c r="AF3" i="4" s="1"/>
  <c r="AB33" i="4"/>
  <c r="AF33" i="4" s="1"/>
  <c r="AB54" i="4"/>
  <c r="AF54" i="4" s="1"/>
  <c r="G3" i="3"/>
  <c r="G5" i="3" s="1"/>
  <c r="G10" i="3" s="1"/>
  <c r="AB57" i="4"/>
  <c r="AF57" i="4" s="1"/>
  <c r="AB18" i="4"/>
  <c r="AF18" i="4" s="1"/>
  <c r="AB41" i="4"/>
  <c r="AF41" i="4" s="1"/>
  <c r="AB51" i="4"/>
  <c r="AF51" i="4" s="1"/>
  <c r="AB2" i="4"/>
  <c r="AF2" i="4" s="1"/>
  <c r="AB29" i="4"/>
  <c r="AF29" i="4" s="1"/>
  <c r="AB24" i="4"/>
  <c r="AF24" i="4" s="1"/>
  <c r="AB37" i="4"/>
  <c r="AF37" i="4" s="1"/>
  <c r="AB15" i="4"/>
  <c r="AF15" i="4" s="1"/>
  <c r="AB49" i="4"/>
  <c r="AF49" i="4" s="1"/>
  <c r="AB56" i="4"/>
  <c r="AF56" i="4" s="1"/>
  <c r="AB36" i="4"/>
  <c r="AF36" i="4" s="1"/>
  <c r="AB27" i="4"/>
  <c r="AF27" i="4" s="1"/>
  <c r="AB16" i="4"/>
  <c r="AF16" i="4" s="1"/>
  <c r="AB45" i="4"/>
  <c r="AF45" i="4" s="1"/>
  <c r="R37" i="4" l="1"/>
  <c r="J38" i="4"/>
  <c r="W36" i="4"/>
  <c r="T36" i="4"/>
  <c r="U36" i="4"/>
  <c r="V36" i="4"/>
  <c r="F5" i="3"/>
  <c r="F10" i="3" s="1"/>
  <c r="F12" i="3" s="1"/>
  <c r="F13" i="3" s="1"/>
  <c r="F15" i="3" s="1"/>
  <c r="D6" i="3"/>
  <c r="D7" i="3"/>
  <c r="D3" i="3"/>
  <c r="D8" i="3"/>
  <c r="D4" i="3"/>
  <c r="D9" i="3" s="1"/>
  <c r="E5" i="3"/>
  <c r="E10" i="3" s="1"/>
  <c r="E12" i="3" s="1"/>
  <c r="G4" i="3"/>
  <c r="G9" i="3" s="1"/>
  <c r="G12" i="3" s="1"/>
  <c r="F14" i="3" l="1"/>
  <c r="R38" i="4"/>
  <c r="J39" i="4"/>
  <c r="V37" i="4"/>
  <c r="U37" i="4"/>
  <c r="T37" i="4"/>
  <c r="W37" i="4"/>
  <c r="E14" i="3"/>
  <c r="G13" i="3"/>
  <c r="G15" i="3" s="1"/>
  <c r="E13" i="3"/>
  <c r="E15" i="3" s="1"/>
  <c r="G14" i="3"/>
  <c r="D5" i="3"/>
  <c r="D10" i="3" s="1"/>
  <c r="D12" i="3" s="1"/>
  <c r="R39" i="4" l="1"/>
  <c r="J40" i="4"/>
  <c r="W38" i="4"/>
  <c r="T38" i="4"/>
  <c r="U38" i="4"/>
  <c r="V38" i="4"/>
  <c r="D14" i="3"/>
  <c r="D13" i="3"/>
  <c r="D15" i="3" s="1"/>
  <c r="R40" i="4" l="1"/>
  <c r="J41" i="4"/>
  <c r="U39" i="4"/>
  <c r="W39" i="4"/>
  <c r="V39" i="4"/>
  <c r="T39" i="4"/>
  <c r="B7" i="1"/>
  <c r="B6" i="1"/>
  <c r="B4" i="1"/>
  <c r="D23" i="3"/>
  <c r="B5" i="1"/>
  <c r="R41" i="4" l="1"/>
  <c r="J42" i="4"/>
  <c r="W40" i="4"/>
  <c r="T40" i="4"/>
  <c r="V40" i="4"/>
  <c r="U40" i="4"/>
  <c r="S128" i="4"/>
  <c r="S104" i="4"/>
  <c r="S57" i="4"/>
  <c r="S80" i="4"/>
  <c r="S81" i="4"/>
  <c r="S9" i="4"/>
  <c r="S26" i="4"/>
  <c r="S11" i="4"/>
  <c r="S17" i="4"/>
  <c r="S92" i="4"/>
  <c r="S122" i="4"/>
  <c r="S75" i="4"/>
  <c r="S3" i="4"/>
  <c r="S44" i="4"/>
  <c r="S5" i="4"/>
  <c r="S6" i="4"/>
  <c r="S12" i="4"/>
  <c r="S45" i="4"/>
  <c r="S114" i="4"/>
  <c r="S52" i="4"/>
  <c r="S59" i="4"/>
  <c r="S63" i="4"/>
  <c r="S31" i="4"/>
  <c r="S51" i="4"/>
  <c r="S117" i="4"/>
  <c r="S95" i="4"/>
  <c r="S13" i="4"/>
  <c r="S86" i="4"/>
  <c r="S88" i="4"/>
  <c r="S132" i="4"/>
  <c r="S64" i="4"/>
  <c r="S65" i="4"/>
  <c r="S85" i="4"/>
  <c r="S10" i="4"/>
  <c r="S18" i="4"/>
  <c r="S66" i="4"/>
  <c r="S24" i="4"/>
  <c r="S83" i="4"/>
  <c r="S107" i="4"/>
  <c r="S4" i="4"/>
  <c r="S41" i="4"/>
  <c r="S82" i="4"/>
  <c r="S74" i="4"/>
  <c r="S123" i="4"/>
  <c r="S115" i="4"/>
  <c r="S127" i="4"/>
  <c r="S48" i="4"/>
  <c r="S49" i="4"/>
  <c r="S36" i="4"/>
  <c r="S72" i="4"/>
  <c r="S69" i="4"/>
  <c r="S129" i="4"/>
  <c r="S79" i="4"/>
  <c r="S131" i="4"/>
  <c r="S99" i="4"/>
  <c r="S116" i="4"/>
  <c r="S130" i="4"/>
  <c r="S55" i="4"/>
  <c r="S20" i="4"/>
  <c r="S61" i="4"/>
  <c r="S60" i="4"/>
  <c r="S101" i="4"/>
  <c r="S40" i="4"/>
  <c r="S126" i="4"/>
  <c r="S100" i="4"/>
  <c r="S35" i="4"/>
  <c r="S37" i="4"/>
  <c r="S43" i="4"/>
  <c r="S121" i="4"/>
  <c r="S110" i="4"/>
  <c r="S84" i="4"/>
  <c r="S91" i="4"/>
  <c r="S19" i="4"/>
  <c r="S98" i="4"/>
  <c r="S21" i="4"/>
  <c r="S22" i="4"/>
  <c r="S28" i="4"/>
  <c r="S29" i="4"/>
  <c r="S62" i="4"/>
  <c r="S111" i="4"/>
  <c r="S125" i="4"/>
  <c r="S30" i="4"/>
  <c r="S15" i="4"/>
  <c r="S32" i="4"/>
  <c r="S50" i="4"/>
  <c r="S56" i="4"/>
  <c r="S120" i="4"/>
  <c r="S102" i="4"/>
  <c r="S58" i="4"/>
  <c r="S103" i="4"/>
  <c r="S38" i="4"/>
  <c r="S68" i="4"/>
  <c r="S133" i="4"/>
  <c r="S78" i="4"/>
  <c r="S94" i="4"/>
  <c r="S124" i="4"/>
  <c r="S46" i="4"/>
  <c r="S106" i="4"/>
  <c r="S118" i="4"/>
  <c r="S14" i="4"/>
  <c r="S34" i="4"/>
  <c r="S16" i="4"/>
  <c r="S2" i="4"/>
  <c r="S53" i="4"/>
  <c r="S119" i="4"/>
  <c r="S109" i="4"/>
  <c r="S90" i="4"/>
  <c r="S71" i="4"/>
  <c r="S93" i="4"/>
  <c r="S105" i="4"/>
  <c r="S47" i="4"/>
  <c r="S70" i="4"/>
  <c r="S108" i="4"/>
  <c r="S23" i="4"/>
  <c r="S89" i="4"/>
  <c r="S112" i="4"/>
  <c r="S113" i="4"/>
  <c r="S42" i="4"/>
  <c r="S54" i="4"/>
  <c r="S76" i="4"/>
  <c r="S67" i="4"/>
  <c r="S7" i="4"/>
  <c r="S73" i="4"/>
  <c r="S96" i="4"/>
  <c r="S97" i="4"/>
  <c r="S25" i="4"/>
  <c r="S39" i="4"/>
  <c r="S33" i="4"/>
  <c r="S8" i="4"/>
  <c r="S87" i="4"/>
  <c r="S27" i="4"/>
  <c r="S77" i="4"/>
  <c r="U4" i="3" a="1"/>
  <c r="B17" i="6"/>
  <c r="B16" i="6"/>
  <c r="B15" i="6"/>
  <c r="B8" i="1"/>
  <c r="B18" i="6"/>
  <c r="R42" i="4" l="1"/>
  <c r="J43" i="4"/>
  <c r="V41" i="4"/>
  <c r="T41" i="4"/>
  <c r="U41" i="4"/>
  <c r="W41" i="4"/>
  <c r="U4" i="3"/>
  <c r="AC4" i="3" s="1" a="1"/>
  <c r="AC4" i="3" s="1"/>
  <c r="AB4" i="3" a="1"/>
  <c r="AB4" i="3" s="1"/>
  <c r="R43" i="4" l="1"/>
  <c r="J44" i="4"/>
  <c r="W42" i="4"/>
  <c r="U42" i="4"/>
  <c r="V42" i="4"/>
  <c r="T42" i="4"/>
  <c r="R44" i="4" l="1"/>
  <c r="J45" i="4"/>
  <c r="W43" i="4"/>
  <c r="U43" i="4"/>
  <c r="V43" i="4"/>
  <c r="T43" i="4"/>
  <c r="R45" i="4" l="1"/>
  <c r="J46" i="4"/>
  <c r="U44" i="4"/>
  <c r="V44" i="4"/>
  <c r="W44" i="4"/>
  <c r="T44" i="4"/>
  <c r="R46" i="4" l="1"/>
  <c r="J47" i="4"/>
  <c r="U45" i="4"/>
  <c r="W45" i="4"/>
  <c r="T45" i="4"/>
  <c r="V45" i="4"/>
  <c r="R47" i="4" l="1"/>
  <c r="J48" i="4"/>
  <c r="W46" i="4"/>
  <c r="T46" i="4"/>
  <c r="U46" i="4"/>
  <c r="V46" i="4"/>
  <c r="R48" i="4" l="1"/>
  <c r="J49" i="4"/>
  <c r="W47" i="4"/>
  <c r="T47" i="4"/>
  <c r="V47" i="4"/>
  <c r="U47" i="4"/>
  <c r="R49" i="4" l="1"/>
  <c r="J50" i="4"/>
  <c r="T48" i="4"/>
  <c r="V48" i="4"/>
  <c r="U48" i="4"/>
  <c r="W48" i="4"/>
  <c r="R50" i="4" l="1"/>
  <c r="J51" i="4"/>
  <c r="V49" i="4"/>
  <c r="U49" i="4"/>
  <c r="W49" i="4"/>
  <c r="T49" i="4"/>
  <c r="R51" i="4" l="1"/>
  <c r="J52" i="4"/>
  <c r="W50" i="4"/>
  <c r="T50" i="4"/>
  <c r="U50" i="4"/>
  <c r="V50" i="4"/>
  <c r="R52" i="4" l="1"/>
  <c r="J53" i="4"/>
  <c r="V51" i="4"/>
  <c r="W51" i="4"/>
  <c r="T51" i="4"/>
  <c r="U51" i="4"/>
  <c r="R53" i="4" l="1"/>
  <c r="J54" i="4"/>
  <c r="V52" i="4"/>
  <c r="T52" i="4"/>
  <c r="W52" i="4"/>
  <c r="U52" i="4"/>
  <c r="R54" i="4" l="1"/>
  <c r="J55" i="4"/>
  <c r="T53" i="4"/>
  <c r="W53" i="4"/>
  <c r="V53" i="4"/>
  <c r="U53" i="4"/>
  <c r="J56" i="4" l="1"/>
  <c r="R55" i="4"/>
  <c r="U54" i="4"/>
  <c r="W54" i="4"/>
  <c r="T54" i="4"/>
  <c r="V54" i="4"/>
  <c r="U55" i="4" l="1"/>
  <c r="T55" i="4"/>
  <c r="V55" i="4"/>
  <c r="W55" i="4"/>
  <c r="R56" i="4"/>
  <c r="J57" i="4"/>
  <c r="R57" i="4" l="1"/>
  <c r="J58" i="4"/>
  <c r="U56" i="4"/>
  <c r="T56" i="4"/>
  <c r="W56" i="4"/>
  <c r="V56" i="4"/>
  <c r="J59" i="4" l="1"/>
  <c r="R58" i="4"/>
  <c r="U57" i="4"/>
  <c r="T57" i="4"/>
  <c r="W57" i="4"/>
  <c r="V57" i="4"/>
  <c r="T58" i="4" l="1"/>
  <c r="U58" i="4"/>
  <c r="W58" i="4"/>
  <c r="V58" i="4"/>
  <c r="R59" i="4"/>
  <c r="J60" i="4"/>
  <c r="R60" i="4" s="1"/>
  <c r="V60" i="4" l="1"/>
  <c r="U60" i="4"/>
  <c r="T60" i="4"/>
  <c r="W60" i="4"/>
  <c r="U59" i="4"/>
  <c r="W59" i="4"/>
  <c r="T59" i="4"/>
  <c r="V5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<sst xmlns="http://schemas.openxmlformats.org/spreadsheetml/2006/main" count="228" uniqueCount="126">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</sst>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715.94487750556789</c:v>
                </c:pt>
                <c:pt idx="1">
                  <c:v>234.63661202185793</c:v>
                </c:pt>
                <c:pt idx="2">
                  <c:v>1047.0704887218046</c:v>
                </c:pt>
                <c:pt idx="3">
                  <c:v>1329.962962962963</c:v>
                </c:pt>
                <c:pt idx="4">
                  <c:v>2080.7650281510755</c:v>
                </c:pt>
                <c:pt idx="5">
                  <c:v>2098.2619435462047</c:v>
                </c:pt>
                <c:pt idx="6">
                  <c:v>2146.3782105883824</c:v>
                </c:pt>
                <c:pt idx="7">
                  <c:v>2308.2240939729963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9.5935483668600359</c:v>
                </c:pt>
                <c:pt idx="1">
                  <c:v>17.550000011061247</c:v>
                </c:pt>
                <c:pt idx="2">
                  <c:v>18.948484822430395</c:v>
                </c:pt>
                <c:pt idx="3">
                  <c:v>13.6399999777476</c:v>
                </c:pt>
                <c:pt idx="4">
                  <c:v>9.3607142985399285</c:v>
                </c:pt>
                <c:pt idx="5">
                  <c:v>1.8823529832503372</c:v>
                </c:pt>
                <c:pt idx="6">
                  <c:v>-4.2290322396063038</c:v>
                </c:pt>
                <c:pt idx="7">
                  <c:v>-4.6387096528084051</c:v>
                </c:pt>
                <c:pt idx="8">
                  <c:v>-5</c:v>
                </c:pt>
                <c:pt idx="9">
                  <c:v>-4.3870968357209232</c:v>
                </c:pt>
                <c:pt idx="10">
                  <c:v>-3.2030302394520156</c:v>
                </c:pt>
                <c:pt idx="11">
                  <c:v>3.1892856444631299</c:v>
                </c:pt>
                <c:pt idx="12">
                  <c:v>9.5250000020023435</c:v>
                </c:pt>
                <c:pt idx="13">
                  <c:v>12.003571424633265</c:v>
                </c:pt>
                <c:pt idx="14">
                  <c:v>14.834375008707866</c:v>
                </c:pt>
                <c:pt idx="15">
                  <c:v>10.596428544127516</c:v>
                </c:pt>
                <c:pt idx="16">
                  <c:v>9.7352941281655259</c:v>
                </c:pt>
                <c:pt idx="17">
                  <c:v>2.0062499605119228</c:v>
                </c:pt>
                <c:pt idx="18">
                  <c:v>-4.1677419293311333</c:v>
                </c:pt>
                <c:pt idx="19">
                  <c:v>-4.7677418493455459</c:v>
                </c:pt>
                <c:pt idx="20">
                  <c:v>-5</c:v>
                </c:pt>
                <c:pt idx="21">
                  <c:v>-4.5121212583599668</c:v>
                </c:pt>
                <c:pt idx="22">
                  <c:v>-0.51874998211860657</c:v>
                </c:pt>
                <c:pt idx="23">
                  <c:v>3.7571428673607965</c:v>
                </c:pt>
                <c:pt idx="24">
                  <c:v>11.784375011920929</c:v>
                </c:pt>
                <c:pt idx="25">
                  <c:v>13.972413780360387</c:v>
                </c:pt>
                <c:pt idx="26">
                  <c:v>14.582758595203533</c:v>
                </c:pt>
                <c:pt idx="27">
                  <c:v>13.303125010337681</c:v>
                </c:pt>
                <c:pt idx="28">
                  <c:v>8.5931034450387127</c:v>
                </c:pt>
                <c:pt idx="29">
                  <c:v>2.6939393679300947</c:v>
                </c:pt>
                <c:pt idx="30">
                  <c:v>-3.0793103514046507</c:v>
                </c:pt>
                <c:pt idx="31">
                  <c:v>-5</c:v>
                </c:pt>
                <c:pt idx="32">
                  <c:v>-5</c:v>
                </c:pt>
                <c:pt idx="33">
                  <c:v>-4.6812500059604645</c:v>
                </c:pt>
                <c:pt idx="34">
                  <c:v>-2.2028571537562778</c:v>
                </c:pt>
                <c:pt idx="35">
                  <c:v>5.4964285833495001</c:v>
                </c:pt>
                <c:pt idx="36">
                  <c:v>11.788235287675086</c:v>
                </c:pt>
                <c:pt idx="37">
                  <c:v>17.039285725780896</c:v>
                </c:pt>
                <c:pt idx="38">
                  <c:v>21.785185156045138</c:v>
                </c:pt>
                <c:pt idx="39">
                  <c:v>12.312121201193694</c:v>
                </c:pt>
                <c:pt idx="40">
                  <c:v>9.012903215423707</c:v>
                </c:pt>
                <c:pt idx="41">
                  <c:v>0.18749998509883881</c:v>
                </c:pt>
                <c:pt idx="42">
                  <c:v>-3.6799999554951985</c:v>
                </c:pt>
                <c:pt idx="43">
                  <c:v>-5</c:v>
                </c:pt>
                <c:pt idx="44">
                  <c:v>-4.8580645284345074</c:v>
                </c:pt>
                <c:pt idx="45">
                  <c:v>-4.7666666348775228</c:v>
                </c:pt>
                <c:pt idx="46">
                  <c:v>-0.28214280945914094</c:v>
                </c:pt>
                <c:pt idx="47">
                  <c:v>4.5848484454732947</c:v>
                </c:pt>
                <c:pt idx="48">
                  <c:v>9.164285734295845</c:v>
                </c:pt>
                <c:pt idx="49">
                  <c:v>17.81034480703288</c:v>
                </c:pt>
                <c:pt idx="50">
                  <c:v>16.303448285522133</c:v>
                </c:pt>
                <c:pt idx="51">
                  <c:v>13.220689649211948</c:v>
                </c:pt>
                <c:pt idx="52">
                  <c:v>7.4852941163322502</c:v>
                </c:pt>
                <c:pt idx="53">
                  <c:v>4.3032257883779472</c:v>
                </c:pt>
                <c:pt idx="54">
                  <c:v>-1.9566666920979818</c:v>
                </c:pt>
                <c:pt idx="55">
                  <c:v>-4.9714285986764093</c:v>
                </c:pt>
                <c:pt idx="56">
                  <c:v>-5</c:v>
                </c:pt>
                <c:pt idx="57">
                  <c:v>-4.2799999872843424</c:v>
                </c:pt>
                <c:pt idx="58">
                  <c:v>1.0233333587646483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1377.5483870967741</c:v>
                </c:pt>
                <c:pt idx="1">
                  <c:v>1506.5</c:v>
                </c:pt>
                <c:pt idx="2">
                  <c:v>1298.6969696969697</c:v>
                </c:pt>
                <c:pt idx="3">
                  <c:v>1183.9333333333334</c:v>
                </c:pt>
                <c:pt idx="4">
                  <c:v>938.46428571428567</c:v>
                </c:pt>
                <c:pt idx="5">
                  <c:v>545.97058823529414</c:v>
                </c:pt>
                <c:pt idx="6">
                  <c:v>186.96774193548387</c:v>
                </c:pt>
                <c:pt idx="7">
                  <c:v>154.06451612903226</c:v>
                </c:pt>
                <c:pt idx="8">
                  <c:v>168.35714285714286</c:v>
                </c:pt>
                <c:pt idx="9">
                  <c:v>194.45161290322579</c:v>
                </c:pt>
                <c:pt idx="10">
                  <c:v>401.06060606060606</c:v>
                </c:pt>
                <c:pt idx="11">
                  <c:v>1061.6071428571429</c:v>
                </c:pt>
                <c:pt idx="12">
                  <c:v>1171.90625</c:v>
                </c:pt>
                <c:pt idx="13">
                  <c:v>1425.8214285714287</c:v>
                </c:pt>
                <c:pt idx="14">
                  <c:v>1131.96875</c:v>
                </c:pt>
                <c:pt idx="15">
                  <c:v>1067.1428571428571</c:v>
                </c:pt>
                <c:pt idx="16">
                  <c:v>1110.8823529411766</c:v>
                </c:pt>
                <c:pt idx="17">
                  <c:v>638.25</c:v>
                </c:pt>
                <c:pt idx="18">
                  <c:v>272.58064516129031</c:v>
                </c:pt>
                <c:pt idx="19">
                  <c:v>174.80645161290323</c:v>
                </c:pt>
                <c:pt idx="20">
                  <c:v>175</c:v>
                </c:pt>
                <c:pt idx="21">
                  <c:v>207.39393939393941</c:v>
                </c:pt>
                <c:pt idx="22">
                  <c:v>539.28125</c:v>
                </c:pt>
                <c:pt idx="23">
                  <c:v>866.64285714285711</c:v>
                </c:pt>
                <c:pt idx="24">
                  <c:v>1254.03125</c:v>
                </c:pt>
                <c:pt idx="25">
                  <c:v>1315.4827586206898</c:v>
                </c:pt>
                <c:pt idx="26">
                  <c:v>1233.7241379310344</c:v>
                </c:pt>
                <c:pt idx="27">
                  <c:v>1271.5625</c:v>
                </c:pt>
                <c:pt idx="28">
                  <c:v>951.93103448275861</c:v>
                </c:pt>
                <c:pt idx="29">
                  <c:v>653.09090909090912</c:v>
                </c:pt>
                <c:pt idx="30">
                  <c:v>174.17241379310346</c:v>
                </c:pt>
                <c:pt idx="31">
                  <c:v>169.87096774193549</c:v>
                </c:pt>
                <c:pt idx="32">
                  <c:v>185.16</c:v>
                </c:pt>
                <c:pt idx="33">
                  <c:v>209.96875</c:v>
                </c:pt>
                <c:pt idx="34">
                  <c:v>407.2</c:v>
                </c:pt>
                <c:pt idx="35">
                  <c:v>957.89285714285711</c:v>
                </c:pt>
                <c:pt idx="36">
                  <c:v>1149.1176470588234</c:v>
                </c:pt>
                <c:pt idx="37">
                  <c:v>1269.7857142857142</c:v>
                </c:pt>
                <c:pt idx="38">
                  <c:v>1329.962962962963</c:v>
                </c:pt>
                <c:pt idx="39">
                  <c:v>1118.6060606060605</c:v>
                </c:pt>
                <c:pt idx="40">
                  <c:v>951.64516129032256</c:v>
                </c:pt>
                <c:pt idx="41">
                  <c:v>369.25</c:v>
                </c:pt>
                <c:pt idx="42">
                  <c:v>197.93333333333334</c:v>
                </c:pt>
                <c:pt idx="43">
                  <c:v>169.41935483870967</c:v>
                </c:pt>
                <c:pt idx="44">
                  <c:v>160.19354838709677</c:v>
                </c:pt>
                <c:pt idx="45">
                  <c:v>174.86666666666667</c:v>
                </c:pt>
                <c:pt idx="46">
                  <c:v>481.17857142857144</c:v>
                </c:pt>
                <c:pt idx="47">
                  <c:v>858.09090909090912</c:v>
                </c:pt>
                <c:pt idx="48">
                  <c:v>1105.6071428571429</c:v>
                </c:pt>
                <c:pt idx="49">
                  <c:v>1367.4482758620691</c:v>
                </c:pt>
                <c:pt idx="50">
                  <c:v>1164.7586206896551</c:v>
                </c:pt>
                <c:pt idx="51">
                  <c:v>1183.8275862068965</c:v>
                </c:pt>
                <c:pt idx="52">
                  <c:v>1027.2941176470588</c:v>
                </c:pt>
                <c:pt idx="53">
                  <c:v>494.09677419354841</c:v>
                </c:pt>
                <c:pt idx="54">
                  <c:v>204.8</c:v>
                </c:pt>
                <c:pt idx="55">
                  <c:v>180.17857142857142</c:v>
                </c:pt>
                <c:pt idx="56">
                  <c:v>182.38235294117646</c:v>
                </c:pt>
                <c:pt idx="57">
                  <c:v>210.93333333333334</c:v>
                </c:pt>
                <c:pt idx="58">
                  <c:v>550.33333333333337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17.550000011061247</c:v>
                </c:pt>
                <c:pt idx="1">
                  <c:v>18.948484822430395</c:v>
                </c:pt>
                <c:pt idx="2">
                  <c:v>13.6399999777476</c:v>
                </c:pt>
                <c:pt idx="3">
                  <c:v>9.3607142985399285</c:v>
                </c:pt>
                <c:pt idx="4">
                  <c:v>1.8823529832503372</c:v>
                </c:pt>
                <c:pt idx="5">
                  <c:v>9.5250000020023435</c:v>
                </c:pt>
                <c:pt idx="6">
                  <c:v>12.003571424633265</c:v>
                </c:pt>
                <c:pt idx="7">
                  <c:v>14.834375008707866</c:v>
                </c:pt>
                <c:pt idx="8">
                  <c:v>10.596428544127516</c:v>
                </c:pt>
                <c:pt idx="9">
                  <c:v>9.7352941281655259</c:v>
                </c:pt>
                <c:pt idx="10">
                  <c:v>2.0062499605119228</c:v>
                </c:pt>
                <c:pt idx="11">
                  <c:v>3.7571428673607965</c:v>
                </c:pt>
                <c:pt idx="12">
                  <c:v>11.784375011920929</c:v>
                </c:pt>
                <c:pt idx="13">
                  <c:v>13.972413780360387</c:v>
                </c:pt>
                <c:pt idx="14">
                  <c:v>14.582758595203533</c:v>
                </c:pt>
                <c:pt idx="15">
                  <c:v>13.303125010337681</c:v>
                </c:pt>
                <c:pt idx="16">
                  <c:v>8.5931034450387127</c:v>
                </c:pt>
                <c:pt idx="17">
                  <c:v>2.6939393679300947</c:v>
                </c:pt>
                <c:pt idx="18">
                  <c:v>5.4964285833495001</c:v>
                </c:pt>
                <c:pt idx="19">
                  <c:v>11.788235287675086</c:v>
                </c:pt>
                <c:pt idx="20">
                  <c:v>17.039285725780896</c:v>
                </c:pt>
                <c:pt idx="21">
                  <c:v>21.785185156045138</c:v>
                </c:pt>
                <c:pt idx="22">
                  <c:v>12.312121201193694</c:v>
                </c:pt>
                <c:pt idx="23">
                  <c:v>9.012903215423707</c:v>
                </c:pt>
                <c:pt idx="24">
                  <c:v>0.18749998509883881</c:v>
                </c:pt>
                <c:pt idx="25">
                  <c:v>4.5848484454732947</c:v>
                </c:pt>
                <c:pt idx="26">
                  <c:v>9.164285734295845</c:v>
                </c:pt>
                <c:pt idx="27">
                  <c:v>17.81034480703288</c:v>
                </c:pt>
                <c:pt idx="28">
                  <c:v>16.303448285522133</c:v>
                </c:pt>
                <c:pt idx="29">
                  <c:v>13.220689649211948</c:v>
                </c:pt>
                <c:pt idx="30">
                  <c:v>7.4852941163322502</c:v>
                </c:pt>
                <c:pt idx="31">
                  <c:v>1.0233333587646483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1506.5</c:v>
                </c:pt>
                <c:pt idx="1">
                  <c:v>1298.6969696969697</c:v>
                </c:pt>
                <c:pt idx="2">
                  <c:v>1183.9333333333334</c:v>
                </c:pt>
                <c:pt idx="3">
                  <c:v>938.46428571428567</c:v>
                </c:pt>
                <c:pt idx="4">
                  <c:v>545.97058823529414</c:v>
                </c:pt>
                <c:pt idx="5">
                  <c:v>1171.90625</c:v>
                </c:pt>
                <c:pt idx="6">
                  <c:v>1425.8214285714287</c:v>
                </c:pt>
                <c:pt idx="7">
                  <c:v>1131.96875</c:v>
                </c:pt>
                <c:pt idx="8">
                  <c:v>1067.1428571428571</c:v>
                </c:pt>
                <c:pt idx="9">
                  <c:v>1110.8823529411766</c:v>
                </c:pt>
                <c:pt idx="10">
                  <c:v>638.25</c:v>
                </c:pt>
                <c:pt idx="11">
                  <c:v>866.64285714285711</c:v>
                </c:pt>
                <c:pt idx="12">
                  <c:v>1254.03125</c:v>
                </c:pt>
                <c:pt idx="13">
                  <c:v>1315.4827586206898</c:v>
                </c:pt>
                <c:pt idx="14">
                  <c:v>1233.7241379310344</c:v>
                </c:pt>
                <c:pt idx="15">
                  <c:v>1271.5625</c:v>
                </c:pt>
                <c:pt idx="16">
                  <c:v>951.93103448275861</c:v>
                </c:pt>
                <c:pt idx="17">
                  <c:v>653.09090909090912</c:v>
                </c:pt>
                <c:pt idx="18">
                  <c:v>957.89285714285711</c:v>
                </c:pt>
                <c:pt idx="19">
                  <c:v>1149.1176470588234</c:v>
                </c:pt>
                <c:pt idx="20">
                  <c:v>1269.7857142857142</c:v>
                </c:pt>
                <c:pt idx="21">
                  <c:v>1329.962962962963</c:v>
                </c:pt>
                <c:pt idx="22">
                  <c:v>1118.6060606060605</c:v>
                </c:pt>
                <c:pt idx="23">
                  <c:v>951.64516129032256</c:v>
                </c:pt>
                <c:pt idx="24">
                  <c:v>369.25</c:v>
                </c:pt>
                <c:pt idx="25">
                  <c:v>858.09090909090912</c:v>
                </c:pt>
                <c:pt idx="26">
                  <c:v>1105.6071428571429</c:v>
                </c:pt>
                <c:pt idx="27">
                  <c:v>1367.4482758620691</c:v>
                </c:pt>
                <c:pt idx="28">
                  <c:v>1164.7586206896551</c:v>
                </c:pt>
                <c:pt idx="29">
                  <c:v>1183.8275862068965</c:v>
                </c:pt>
                <c:pt idx="30">
                  <c:v>1027.2941176470588</c:v>
                </c:pt>
                <c:pt idx="31">
                  <c:v>550.33333333333337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lrca365-my.sharepoint.com/Users/atbozzo/Library/Containers/com.microsoft.Outlook/Data/tmp/Outlook%20Temp/Enbridge%20DDD%20Calculation%20AllWx%20EGI_LondonRes05%20v2.xlsx" TargetMode="External"/><Relationship Id="rId1" Type="http://schemas.openxmlformats.org/officeDocument/2006/relationships/externalLinkPath" Target="https://enbridge.sharepoint.com/Users/atbozzo/Library/Containers/com.microsoft.Outlook/Data/tmp/Outlook%20Temp/Enbridge%20DDD%20Calculation%20AllWx%20EGI_LondonRes05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sumption Data Input"/>
      <sheetName val="Output Summary"/>
      <sheetName val="DDD Model Summary"/>
      <sheetName val="DDD Model Calculations"/>
      <sheetName val="WorkingData"/>
      <sheetName val="Weather Data"/>
    </sheetNames>
    <sheetDataSet>
      <sheetData sheetId="0"/>
      <sheetData sheetId="1"/>
      <sheetData sheetId="2"/>
      <sheetData sheetId="3">
        <row r="20">
          <cell r="D20">
            <v>18</v>
          </cell>
        </row>
      </sheetData>
      <sheetData sheetId="4"/>
      <sheetData sheetId="5">
        <row r="4139">
          <cell r="D4139">
            <v>7.4000000953674316</v>
          </cell>
          <cell r="E4139">
            <v>7.5999999046325684</v>
          </cell>
          <cell r="F4139">
            <v>4.6999998092651367</v>
          </cell>
          <cell r="G4139">
            <v>-0.5</v>
          </cell>
        </row>
        <row r="4140">
          <cell r="D4140">
            <v>7.8000001907348633</v>
          </cell>
          <cell r="E4140">
            <v>11.100000381469727</v>
          </cell>
          <cell r="F4140">
            <v>6.9000000953674316</v>
          </cell>
          <cell r="G4140">
            <v>4.8000001907348633</v>
          </cell>
        </row>
        <row r="4141">
          <cell r="D4141">
            <v>13.899999618530273</v>
          </cell>
          <cell r="E4141">
            <v>13.199999809265137</v>
          </cell>
          <cell r="F4141">
            <v>14.600000381469727</v>
          </cell>
          <cell r="G4141">
            <v>3.5</v>
          </cell>
        </row>
        <row r="4142">
          <cell r="D4142">
            <v>8.1000003814697266</v>
          </cell>
          <cell r="E4142">
            <v>8.8999996185302734</v>
          </cell>
          <cell r="F4142">
            <v>10.800000190734863</v>
          </cell>
          <cell r="G4142">
            <v>8.5</v>
          </cell>
        </row>
        <row r="4143">
          <cell r="D4143">
            <v>9.8000001907348633</v>
          </cell>
          <cell r="E4143">
            <v>9.6999998092651367</v>
          </cell>
          <cell r="F4143">
            <v>13</v>
          </cell>
          <cell r="G4143">
            <v>5.5999999046325684</v>
          </cell>
        </row>
        <row r="4144">
          <cell r="D4144">
            <v>15.300000190734863</v>
          </cell>
          <cell r="E4144">
            <v>15.800000190734863</v>
          </cell>
          <cell r="F4144">
            <v>14.899999618530273</v>
          </cell>
          <cell r="G4144">
            <v>7.0999999046325684</v>
          </cell>
        </row>
        <row r="4145">
          <cell r="D4145">
            <v>14.300000190734863</v>
          </cell>
          <cell r="E4145">
            <v>13.5</v>
          </cell>
          <cell r="F4145">
            <v>17.899999618530273</v>
          </cell>
          <cell r="G4145">
            <v>10.800000190734863</v>
          </cell>
        </row>
        <row r="4146">
          <cell r="D4146">
            <v>15.300000190734863</v>
          </cell>
          <cell r="E4146">
            <v>12.800000190734863</v>
          </cell>
          <cell r="F4146">
            <v>13.100000381469727</v>
          </cell>
          <cell r="G4146">
            <v>6.0999999046325684</v>
          </cell>
        </row>
        <row r="4147">
          <cell r="D4147">
            <v>9.6000003814697266</v>
          </cell>
          <cell r="E4147">
            <v>8.6999998092651367</v>
          </cell>
          <cell r="F4147">
            <v>8.3999996185302734</v>
          </cell>
          <cell r="G4147">
            <v>2.7999999523162842</v>
          </cell>
        </row>
        <row r="4148">
          <cell r="D4148">
            <v>10.5</v>
          </cell>
          <cell r="E4148">
            <v>8.6000003814697266</v>
          </cell>
          <cell r="F4148">
            <v>9.5</v>
          </cell>
          <cell r="G4148">
            <v>10.800000190734863</v>
          </cell>
        </row>
        <row r="4149">
          <cell r="D4149">
            <v>13.600000381469727</v>
          </cell>
          <cell r="E4149">
            <v>11.699999809265137</v>
          </cell>
          <cell r="F4149">
            <v>14.100000381469727</v>
          </cell>
          <cell r="G4149">
            <v>8.5</v>
          </cell>
        </row>
        <row r="4150">
          <cell r="D4150">
            <v>9.6000003814697266</v>
          </cell>
          <cell r="E4150">
            <v>12</v>
          </cell>
          <cell r="F4150">
            <v>9.8000001907348633</v>
          </cell>
          <cell r="G4150">
            <v>13.399999618530273</v>
          </cell>
        </row>
        <row r="4151">
          <cell r="D4151">
            <v>16.200000762939453</v>
          </cell>
          <cell r="E4151">
            <v>16.299999237060547</v>
          </cell>
          <cell r="F4151">
            <v>15.800000190734863</v>
          </cell>
          <cell r="G4151">
            <v>11.800000190734863</v>
          </cell>
        </row>
        <row r="4152">
          <cell r="D4152">
            <v>18.899999618530273</v>
          </cell>
          <cell r="E4152">
            <v>18.600000381469727</v>
          </cell>
          <cell r="F4152">
            <v>18</v>
          </cell>
          <cell r="G4152">
            <v>15.5</v>
          </cell>
        </row>
        <row r="4153">
          <cell r="D4153">
            <v>17.5</v>
          </cell>
          <cell r="E4153">
            <v>20.200000762939453</v>
          </cell>
          <cell r="F4153">
            <v>18.299999237060547</v>
          </cell>
          <cell r="G4153">
            <v>14.199999809265137</v>
          </cell>
        </row>
        <row r="4154">
          <cell r="D4154">
            <v>18.5</v>
          </cell>
          <cell r="E4154">
            <v>19</v>
          </cell>
          <cell r="F4154">
            <v>18.700000762939453</v>
          </cell>
          <cell r="G4154">
            <v>12.300000190734863</v>
          </cell>
        </row>
        <row r="4155">
          <cell r="D4155">
            <v>20.799999237060547</v>
          </cell>
          <cell r="E4155">
            <v>21.200000762939453</v>
          </cell>
          <cell r="F4155">
            <v>20</v>
          </cell>
          <cell r="G4155">
            <v>12.5</v>
          </cell>
        </row>
        <row r="4156">
          <cell r="D4156">
            <v>16.299999237060547</v>
          </cell>
          <cell r="E4156">
            <v>15.5</v>
          </cell>
          <cell r="F4156">
            <v>16.799999237060547</v>
          </cell>
          <cell r="G4156">
            <v>7.1999998092651367</v>
          </cell>
        </row>
        <row r="4157">
          <cell r="D4157">
            <v>13.300000190734863</v>
          </cell>
          <cell r="E4157">
            <v>9.6000003814697266</v>
          </cell>
          <cell r="F4157">
            <v>10.100000381469727</v>
          </cell>
          <cell r="G4157">
            <v>0.69999998807907104</v>
          </cell>
        </row>
        <row r="4158">
          <cell r="D4158">
            <v>9.6999998092651367</v>
          </cell>
          <cell r="E4158">
            <v>8.6000003814697266</v>
          </cell>
          <cell r="F4158">
            <v>8.1000003814697266</v>
          </cell>
          <cell r="G4158">
            <v>3.0999999046325684</v>
          </cell>
        </row>
        <row r="4159">
          <cell r="D4159">
            <v>8.8000001907348633</v>
          </cell>
          <cell r="E4159">
            <v>9.3999996185302734</v>
          </cell>
          <cell r="F4159">
            <v>7.8000001907348633</v>
          </cell>
          <cell r="G4159">
            <v>8.3000001907348633</v>
          </cell>
        </row>
        <row r="4160">
          <cell r="D4160">
            <v>9</v>
          </cell>
          <cell r="E4160">
            <v>9</v>
          </cell>
          <cell r="F4160">
            <v>10.899999618530273</v>
          </cell>
          <cell r="G4160">
            <v>9.8000001907348633</v>
          </cell>
        </row>
        <row r="4161">
          <cell r="D4161">
            <v>8.6999998092651367</v>
          </cell>
          <cell r="E4161">
            <v>8.8999996185302734</v>
          </cell>
          <cell r="F4161">
            <v>9</v>
          </cell>
          <cell r="G4161">
            <v>6.1999998092651367</v>
          </cell>
        </row>
        <row r="4162">
          <cell r="D4162">
            <v>10.5</v>
          </cell>
          <cell r="E4162">
            <v>8.1000003814697266</v>
          </cell>
          <cell r="F4162">
            <v>8.8000001907348633</v>
          </cell>
          <cell r="G4162">
            <v>9.1999998092651367</v>
          </cell>
        </row>
        <row r="4163">
          <cell r="D4163">
            <v>11.399999618530273</v>
          </cell>
          <cell r="E4163">
            <v>9.3999996185302734</v>
          </cell>
          <cell r="F4163">
            <v>9.3000001907348633</v>
          </cell>
          <cell r="G4163">
            <v>9</v>
          </cell>
        </row>
        <row r="4164">
          <cell r="D4164">
            <v>12.600000381469727</v>
          </cell>
          <cell r="E4164">
            <v>10.5</v>
          </cell>
          <cell r="F4164">
            <v>13.199999809265137</v>
          </cell>
          <cell r="G4164">
            <v>10.899999618530273</v>
          </cell>
        </row>
        <row r="4165">
          <cell r="D4165">
            <v>14.300000190734863</v>
          </cell>
          <cell r="E4165">
            <v>13.5</v>
          </cell>
          <cell r="F4165">
            <v>15.699999809265137</v>
          </cell>
          <cell r="G4165">
            <v>11.399999618530273</v>
          </cell>
        </row>
        <row r="4166">
          <cell r="D4166">
            <v>15.699999809265137</v>
          </cell>
          <cell r="E4166">
            <v>14.699999809265137</v>
          </cell>
          <cell r="F4166">
            <v>16.899999618530273</v>
          </cell>
          <cell r="G4166">
            <v>12.199999809265137</v>
          </cell>
        </row>
        <row r="4167">
          <cell r="D4167">
            <v>13.899999618530273</v>
          </cell>
          <cell r="E4167">
            <v>12.699999809265137</v>
          </cell>
          <cell r="F4167">
            <v>17.700000762939453</v>
          </cell>
          <cell r="G4167">
            <v>14.600000381469727</v>
          </cell>
        </row>
        <row r="4168">
          <cell r="D4168">
            <v>15.5</v>
          </cell>
          <cell r="E4168">
            <v>15</v>
          </cell>
          <cell r="F4168">
            <v>15.699999809265137</v>
          </cell>
          <cell r="G4168">
            <v>16.700000762939453</v>
          </cell>
        </row>
        <row r="4169">
          <cell r="D4169">
            <v>18.899999618530273</v>
          </cell>
          <cell r="E4169">
            <v>16.600000381469727</v>
          </cell>
          <cell r="F4169">
            <v>17.700000762939453</v>
          </cell>
          <cell r="G4169">
            <v>13.699999809265137</v>
          </cell>
        </row>
        <row r="4170">
          <cell r="D4170">
            <v>10.600000381469727</v>
          </cell>
          <cell r="E4170">
            <v>9.6999998092651367</v>
          </cell>
          <cell r="F4170">
            <v>11.300000190734863</v>
          </cell>
          <cell r="G4170">
            <v>10.100000381469727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A3" sqref="A3"/>
    </sheetView>
  </sheetViews>
  <sheetFormatPr defaultColWidth="10.58203125" defaultRowHeight="16" x14ac:dyDescent="0.4"/>
  <cols>
    <col min="1" max="6" width="12.83203125" customWidth="1"/>
  </cols>
  <sheetData>
    <row r="1" spans="1:23" x14ac:dyDescent="0.4">
      <c r="A1" t="s">
        <v>0</v>
      </c>
      <c r="B1" t="s">
        <v>1</v>
      </c>
    </row>
    <row r="2" spans="1:23" x14ac:dyDescent="0.4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4">
      <c r="A3" s="11">
        <v>45757</v>
      </c>
      <c r="B3" s="11">
        <v>45721</v>
      </c>
      <c r="C3" s="11">
        <v>45751</v>
      </c>
      <c r="D3" s="12">
        <v>31</v>
      </c>
      <c r="E3" s="12">
        <v>1300871</v>
      </c>
      <c r="F3" s="15" t="s">
        <v>9</v>
      </c>
      <c r="G3" s="19">
        <v>42704</v>
      </c>
      <c r="M3" s="2"/>
      <c r="N3" s="2"/>
      <c r="O3" s="2"/>
      <c r="U3" s="2"/>
      <c r="V3" s="2"/>
      <c r="W3" s="2"/>
    </row>
    <row r="4" spans="1:23" x14ac:dyDescent="0.4">
      <c r="A4" s="11">
        <v>45729</v>
      </c>
      <c r="B4" s="11">
        <v>45695</v>
      </c>
      <c r="C4" s="11">
        <v>45720</v>
      </c>
      <c r="D4" s="12">
        <v>26</v>
      </c>
      <c r="E4" s="12">
        <v>1258167</v>
      </c>
      <c r="F4" s="15" t="s">
        <v>9</v>
      </c>
      <c r="G4" s="19">
        <v>39169</v>
      </c>
      <c r="M4" s="2"/>
      <c r="N4" s="2"/>
      <c r="O4" s="2"/>
      <c r="U4" s="2"/>
      <c r="V4" s="2"/>
      <c r="W4" s="2"/>
    </row>
    <row r="5" spans="1:23" x14ac:dyDescent="0.4">
      <c r="A5" s="11">
        <v>45700</v>
      </c>
      <c r="B5" s="11">
        <v>45662</v>
      </c>
      <c r="C5" s="11">
        <v>45694</v>
      </c>
      <c r="D5" s="12">
        <v>33</v>
      </c>
      <c r="E5" s="12">
        <v>1218998</v>
      </c>
      <c r="F5" s="15" t="s">
        <v>9</v>
      </c>
      <c r="G5" s="19">
        <v>42857</v>
      </c>
      <c r="M5" s="2"/>
      <c r="N5" s="2"/>
      <c r="O5" s="2"/>
      <c r="U5" s="2"/>
      <c r="V5" s="2"/>
      <c r="W5" s="2"/>
    </row>
    <row r="6" spans="1:23" x14ac:dyDescent="0.4">
      <c r="A6" s="11">
        <v>45667</v>
      </c>
      <c r="B6" s="11">
        <v>45632</v>
      </c>
      <c r="C6" s="11">
        <v>45661</v>
      </c>
      <c r="D6" s="12">
        <v>30</v>
      </c>
      <c r="E6" s="12">
        <v>1176141</v>
      </c>
      <c r="F6" s="15" t="s">
        <v>9</v>
      </c>
      <c r="G6" s="19">
        <v>35518</v>
      </c>
      <c r="M6" s="2"/>
      <c r="N6" s="2"/>
      <c r="O6" s="2"/>
      <c r="U6" s="2"/>
      <c r="V6" s="2"/>
      <c r="W6" s="2"/>
    </row>
    <row r="7" spans="1:23" x14ac:dyDescent="0.4">
      <c r="A7" s="11">
        <v>45638</v>
      </c>
      <c r="B7" s="11">
        <v>45604</v>
      </c>
      <c r="C7" s="11">
        <v>45631</v>
      </c>
      <c r="D7" s="12">
        <v>28</v>
      </c>
      <c r="E7" s="12">
        <v>1140623</v>
      </c>
      <c r="F7" s="15" t="s">
        <v>9</v>
      </c>
      <c r="G7" s="19">
        <v>26277</v>
      </c>
      <c r="M7" s="2"/>
      <c r="N7" s="2"/>
      <c r="O7" s="2"/>
      <c r="U7" s="2"/>
      <c r="V7" s="2"/>
      <c r="W7" s="2"/>
    </row>
    <row r="8" spans="1:23" x14ac:dyDescent="0.4">
      <c r="A8" s="11">
        <v>45609</v>
      </c>
      <c r="B8" s="11">
        <v>45570</v>
      </c>
      <c r="C8" s="11">
        <v>45603</v>
      </c>
      <c r="D8" s="12">
        <v>34</v>
      </c>
      <c r="E8" s="12">
        <v>1114346</v>
      </c>
      <c r="F8" s="15" t="s">
        <v>9</v>
      </c>
      <c r="G8" s="19">
        <v>18563</v>
      </c>
      <c r="M8" s="2"/>
      <c r="N8" s="2"/>
      <c r="O8" s="2"/>
      <c r="U8" s="2"/>
      <c r="V8" s="2"/>
      <c r="W8" s="2"/>
    </row>
    <row r="9" spans="1:23" x14ac:dyDescent="0.4">
      <c r="A9" s="11">
        <v>45572</v>
      </c>
      <c r="B9" s="11">
        <v>45539</v>
      </c>
      <c r="C9" s="11">
        <v>45569</v>
      </c>
      <c r="D9" s="12">
        <v>31</v>
      </c>
      <c r="E9" s="12">
        <v>1095783</v>
      </c>
      <c r="F9" s="15" t="s">
        <v>9</v>
      </c>
      <c r="G9" s="19">
        <v>5796</v>
      </c>
      <c r="M9" s="2"/>
      <c r="N9" s="2"/>
      <c r="O9" s="2"/>
      <c r="U9" s="2"/>
      <c r="V9" s="2"/>
      <c r="W9" s="2"/>
    </row>
    <row r="10" spans="1:23" x14ac:dyDescent="0.4">
      <c r="A10" s="11">
        <v>45545</v>
      </c>
      <c r="B10" s="11">
        <v>45508</v>
      </c>
      <c r="C10" s="11">
        <v>45538</v>
      </c>
      <c r="D10" s="12">
        <v>31</v>
      </c>
      <c r="E10" s="12">
        <v>1089987</v>
      </c>
      <c r="F10" s="15" t="s">
        <v>9</v>
      </c>
      <c r="G10" s="19">
        <v>4776</v>
      </c>
      <c r="M10" s="2"/>
      <c r="N10" s="2"/>
      <c r="O10" s="2"/>
      <c r="U10" s="2"/>
      <c r="V10" s="2"/>
      <c r="W10" s="2"/>
    </row>
    <row r="11" spans="1:23" x14ac:dyDescent="0.4">
      <c r="A11" s="11">
        <v>45516</v>
      </c>
      <c r="B11" s="11">
        <v>45480</v>
      </c>
      <c r="C11" s="11">
        <v>45507</v>
      </c>
      <c r="D11" s="12">
        <v>28</v>
      </c>
      <c r="E11" s="12">
        <v>1085211</v>
      </c>
      <c r="F11" s="15" t="s">
        <v>9</v>
      </c>
      <c r="G11" s="19">
        <v>4714</v>
      </c>
      <c r="M11" s="2"/>
      <c r="N11" s="2"/>
      <c r="O11" s="2"/>
      <c r="U11" s="2"/>
      <c r="V11" s="2"/>
      <c r="W11" s="2"/>
    </row>
    <row r="12" spans="1:23" x14ac:dyDescent="0.4">
      <c r="A12" s="11">
        <v>45483</v>
      </c>
      <c r="B12" s="11">
        <v>45449</v>
      </c>
      <c r="C12" s="11">
        <v>45479</v>
      </c>
      <c r="D12" s="12">
        <v>31</v>
      </c>
      <c r="E12" s="12">
        <v>1080497</v>
      </c>
      <c r="F12" s="15" t="s">
        <v>9</v>
      </c>
      <c r="G12" s="19">
        <v>6028</v>
      </c>
      <c r="M12" s="2"/>
      <c r="N12" s="2"/>
      <c r="O12" s="2"/>
      <c r="U12" s="2"/>
      <c r="V12" s="2"/>
      <c r="W12" s="2"/>
    </row>
    <row r="13" spans="1:23" x14ac:dyDescent="0.4">
      <c r="A13" s="11">
        <v>45454</v>
      </c>
      <c r="B13" s="11">
        <v>45416</v>
      </c>
      <c r="C13" s="11">
        <v>45448</v>
      </c>
      <c r="D13" s="12">
        <v>33</v>
      </c>
      <c r="E13" s="12">
        <v>1074469</v>
      </c>
      <c r="F13" s="15" t="s">
        <v>9</v>
      </c>
      <c r="G13" s="19">
        <v>13235</v>
      </c>
      <c r="M13" s="2"/>
      <c r="N13" s="2"/>
      <c r="O13" s="2"/>
      <c r="U13" s="2"/>
      <c r="V13" s="2"/>
      <c r="W13" s="2"/>
    </row>
    <row r="14" spans="1:23" x14ac:dyDescent="0.4">
      <c r="A14" s="11">
        <v>45425</v>
      </c>
      <c r="B14" s="11">
        <v>45388</v>
      </c>
      <c r="C14" s="11">
        <v>45415</v>
      </c>
      <c r="D14" s="12">
        <v>28</v>
      </c>
      <c r="E14" s="12">
        <v>1061234</v>
      </c>
      <c r="F14" s="15" t="s">
        <v>9</v>
      </c>
      <c r="G14" s="19">
        <v>29725</v>
      </c>
      <c r="M14" s="2"/>
      <c r="N14" s="2"/>
      <c r="O14" s="2"/>
      <c r="U14" s="2"/>
      <c r="V14" s="2"/>
      <c r="W14" s="2"/>
    </row>
    <row r="15" spans="1:23" x14ac:dyDescent="0.4">
      <c r="A15" s="11">
        <v>45393</v>
      </c>
      <c r="B15" s="11">
        <v>45356</v>
      </c>
      <c r="C15" s="11">
        <v>45387</v>
      </c>
      <c r="D15" s="12">
        <v>32</v>
      </c>
      <c r="E15" s="12">
        <v>1031509</v>
      </c>
      <c r="F15" s="15" t="s">
        <v>9</v>
      </c>
      <c r="G15" s="19">
        <v>37501</v>
      </c>
      <c r="M15" s="2"/>
      <c r="N15" s="2"/>
      <c r="O15" s="2"/>
      <c r="U15" s="2"/>
      <c r="V15" s="2"/>
      <c r="W15" s="2"/>
    </row>
    <row r="16" spans="1:23" x14ac:dyDescent="0.4">
      <c r="A16" s="11">
        <v>45363</v>
      </c>
      <c r="B16" s="11">
        <v>45328</v>
      </c>
      <c r="C16" s="11">
        <v>45355</v>
      </c>
      <c r="D16" s="12">
        <v>28</v>
      </c>
      <c r="E16" s="12">
        <v>994008</v>
      </c>
      <c r="F16" s="15" t="s">
        <v>9</v>
      </c>
      <c r="G16" s="19">
        <v>39923</v>
      </c>
      <c r="M16" s="2"/>
      <c r="N16" s="2"/>
      <c r="O16" s="2"/>
      <c r="U16" s="2"/>
      <c r="V16" s="2"/>
      <c r="W16" s="2"/>
    </row>
    <row r="17" spans="1:23" x14ac:dyDescent="0.4">
      <c r="A17" s="11">
        <v>45331</v>
      </c>
      <c r="B17" s="11">
        <v>45296</v>
      </c>
      <c r="C17" s="11">
        <v>45327</v>
      </c>
      <c r="D17" s="12">
        <v>32</v>
      </c>
      <c r="E17" s="12">
        <v>954085</v>
      </c>
      <c r="F17" s="15" t="s">
        <v>9</v>
      </c>
      <c r="G17" s="19">
        <v>36223</v>
      </c>
      <c r="M17" s="2"/>
      <c r="N17" s="2"/>
      <c r="O17" s="2"/>
      <c r="U17" s="2"/>
      <c r="V17" s="2"/>
      <c r="W17" s="2"/>
    </row>
    <row r="18" spans="1:23" x14ac:dyDescent="0.4">
      <c r="A18" s="11">
        <v>45303</v>
      </c>
      <c r="B18" s="11">
        <v>45268</v>
      </c>
      <c r="C18" s="11">
        <v>45295</v>
      </c>
      <c r="D18" s="12">
        <v>28</v>
      </c>
      <c r="E18" s="12">
        <v>917862</v>
      </c>
      <c r="F18" s="15" t="s">
        <v>9</v>
      </c>
      <c r="G18" s="19">
        <v>29880</v>
      </c>
      <c r="M18" s="2"/>
      <c r="N18" s="2"/>
      <c r="O18" s="2"/>
      <c r="U18" s="2"/>
      <c r="V18" s="2"/>
      <c r="W18" s="2"/>
    </row>
    <row r="19" spans="1:23" x14ac:dyDescent="0.4">
      <c r="A19" s="11">
        <v>45271</v>
      </c>
      <c r="B19" s="11">
        <v>45234</v>
      </c>
      <c r="C19" s="11">
        <v>45267</v>
      </c>
      <c r="D19" s="12">
        <v>34</v>
      </c>
      <c r="E19" s="12">
        <v>887982</v>
      </c>
      <c r="F19" s="15" t="s">
        <v>9</v>
      </c>
      <c r="G19" s="19">
        <v>37770</v>
      </c>
      <c r="M19" s="2"/>
      <c r="N19" s="2"/>
      <c r="O19" s="2"/>
      <c r="U19" s="2"/>
      <c r="V19" s="2"/>
      <c r="W19" s="2"/>
    </row>
    <row r="20" spans="1:23" x14ac:dyDescent="0.4">
      <c r="A20" s="11">
        <v>45243</v>
      </c>
      <c r="B20" s="11">
        <v>45202</v>
      </c>
      <c r="C20" s="11">
        <v>45233</v>
      </c>
      <c r="D20" s="12">
        <v>32</v>
      </c>
      <c r="E20" s="12">
        <v>850212</v>
      </c>
      <c r="F20" s="15" t="s">
        <v>9</v>
      </c>
      <c r="G20" s="19">
        <v>20424</v>
      </c>
      <c r="M20" s="2"/>
      <c r="N20" s="2"/>
      <c r="O20" s="2"/>
      <c r="U20" s="2"/>
      <c r="V20" s="2"/>
      <c r="W20" s="2"/>
    </row>
    <row r="21" spans="1:23" x14ac:dyDescent="0.4">
      <c r="A21" s="11">
        <v>45215</v>
      </c>
      <c r="B21" s="11">
        <v>45171</v>
      </c>
      <c r="C21" s="11">
        <v>45201</v>
      </c>
      <c r="D21" s="12">
        <v>31</v>
      </c>
      <c r="E21" s="12">
        <v>829788</v>
      </c>
      <c r="F21" s="15" t="s">
        <v>9</v>
      </c>
      <c r="G21" s="19">
        <v>8450</v>
      </c>
      <c r="M21" s="2"/>
      <c r="N21" s="2"/>
      <c r="O21" s="2"/>
      <c r="U21" s="2"/>
      <c r="V21" s="2"/>
      <c r="W21" s="2"/>
    </row>
    <row r="22" spans="1:23" x14ac:dyDescent="0.4">
      <c r="A22" s="11">
        <v>45180</v>
      </c>
      <c r="B22" s="11">
        <v>45140</v>
      </c>
      <c r="C22" s="11">
        <v>45170</v>
      </c>
      <c r="D22" s="12">
        <v>31</v>
      </c>
      <c r="E22" s="12">
        <v>821338</v>
      </c>
      <c r="F22" s="15" t="s">
        <v>9</v>
      </c>
      <c r="G22" s="19">
        <v>5419</v>
      </c>
      <c r="M22" s="2"/>
      <c r="N22" s="2"/>
      <c r="O22" s="2"/>
      <c r="U22" s="2"/>
      <c r="V22" s="2"/>
      <c r="W22" s="2"/>
    </row>
    <row r="23" spans="1:23" x14ac:dyDescent="0.4">
      <c r="A23" s="11">
        <v>45149</v>
      </c>
      <c r="B23" s="11">
        <v>45113</v>
      </c>
      <c r="C23" s="11">
        <v>45139</v>
      </c>
      <c r="D23" s="12">
        <v>27</v>
      </c>
      <c r="E23" s="12">
        <v>815919</v>
      </c>
      <c r="F23" s="15" t="s">
        <v>9</v>
      </c>
      <c r="G23" s="19">
        <v>4725</v>
      </c>
      <c r="M23" s="2"/>
      <c r="N23" s="2"/>
      <c r="O23" s="2"/>
      <c r="U23" s="2"/>
      <c r="V23" s="2"/>
      <c r="W23" s="2"/>
    </row>
    <row r="24" spans="1:23" x14ac:dyDescent="0.4">
      <c r="A24" s="11">
        <v>45119</v>
      </c>
      <c r="B24" s="11">
        <v>45080</v>
      </c>
      <c r="C24" s="11">
        <v>45112</v>
      </c>
      <c r="D24" s="12">
        <v>33</v>
      </c>
      <c r="E24" s="12">
        <v>811194</v>
      </c>
      <c r="F24" s="15" t="s">
        <v>9</v>
      </c>
      <c r="G24" s="19">
        <v>6844</v>
      </c>
      <c r="M24" s="2"/>
      <c r="N24" s="2"/>
      <c r="O24" s="2"/>
      <c r="U24" s="2"/>
      <c r="V24" s="2"/>
      <c r="W24" s="2"/>
    </row>
    <row r="25" spans="1:23" x14ac:dyDescent="0.4">
      <c r="A25" s="11">
        <v>45085</v>
      </c>
      <c r="B25" s="11">
        <v>45048</v>
      </c>
      <c r="C25" s="11">
        <v>45079</v>
      </c>
      <c r="D25" s="12">
        <v>32</v>
      </c>
      <c r="E25" s="12">
        <v>804350</v>
      </c>
      <c r="F25" s="15" t="s">
        <v>9</v>
      </c>
      <c r="G25" s="19">
        <v>17257</v>
      </c>
      <c r="M25" s="2"/>
      <c r="N25" s="2"/>
      <c r="O25" s="2"/>
      <c r="U25" s="2"/>
      <c r="V25" s="2"/>
      <c r="W25" s="2"/>
    </row>
    <row r="26" spans="1:23" x14ac:dyDescent="0.4">
      <c r="A26" s="11">
        <v>45056</v>
      </c>
      <c r="B26" s="11">
        <v>45020</v>
      </c>
      <c r="C26" s="11">
        <v>45047</v>
      </c>
      <c r="D26" s="12">
        <v>28</v>
      </c>
      <c r="E26" s="12">
        <v>787093</v>
      </c>
      <c r="F26" s="15" t="s">
        <v>9</v>
      </c>
      <c r="G26" s="19">
        <v>24266</v>
      </c>
      <c r="M26" s="2"/>
      <c r="N26" s="2"/>
      <c r="O26" s="2"/>
      <c r="U26" s="2"/>
      <c r="V26" s="2"/>
      <c r="W26" s="2"/>
    </row>
    <row r="27" spans="1:23" x14ac:dyDescent="0.4">
      <c r="A27" s="11">
        <v>45027</v>
      </c>
      <c r="B27" s="11">
        <v>44988</v>
      </c>
      <c r="C27" s="11">
        <v>45019</v>
      </c>
      <c r="D27" s="12">
        <v>32</v>
      </c>
      <c r="E27" s="12">
        <v>762827</v>
      </c>
      <c r="F27" s="15" t="s">
        <v>9</v>
      </c>
      <c r="G27" s="19">
        <v>40129</v>
      </c>
      <c r="M27" s="2"/>
      <c r="N27" s="2"/>
      <c r="O27" s="2"/>
      <c r="U27" s="2"/>
      <c r="V27" s="2"/>
      <c r="W27" s="2"/>
    </row>
    <row r="28" spans="1:23" x14ac:dyDescent="0.4">
      <c r="A28" s="11">
        <v>44999</v>
      </c>
      <c r="B28" s="11">
        <v>44959</v>
      </c>
      <c r="C28" s="11">
        <v>44987</v>
      </c>
      <c r="D28" s="12">
        <v>29</v>
      </c>
      <c r="E28" s="12">
        <v>722698</v>
      </c>
      <c r="F28" s="15" t="s">
        <v>9</v>
      </c>
      <c r="G28" s="19">
        <v>38149</v>
      </c>
      <c r="M28" s="2"/>
      <c r="N28" s="2"/>
      <c r="O28" s="2"/>
      <c r="U28" s="2"/>
      <c r="V28" s="2"/>
      <c r="W28" s="2"/>
    </row>
    <row r="29" spans="1:23" x14ac:dyDescent="0.4">
      <c r="A29" s="11">
        <v>44964</v>
      </c>
      <c r="B29" s="11">
        <v>44930</v>
      </c>
      <c r="C29" s="11">
        <v>44958</v>
      </c>
      <c r="D29" s="12">
        <v>29</v>
      </c>
      <c r="E29" s="12">
        <v>684549</v>
      </c>
      <c r="F29" s="15" t="s">
        <v>9</v>
      </c>
      <c r="G29" s="19">
        <v>35778</v>
      </c>
      <c r="M29" s="2"/>
      <c r="N29" s="2"/>
      <c r="O29" s="2"/>
      <c r="U29" s="2"/>
      <c r="V29" s="2"/>
      <c r="W29" s="2"/>
    </row>
    <row r="30" spans="1:23" x14ac:dyDescent="0.4">
      <c r="A30" s="11">
        <v>44937</v>
      </c>
      <c r="B30" s="11">
        <v>44898</v>
      </c>
      <c r="C30" s="11">
        <v>44929</v>
      </c>
      <c r="D30" s="12">
        <v>32</v>
      </c>
      <c r="E30" s="12">
        <v>648771</v>
      </c>
      <c r="F30" s="15" t="s">
        <v>9</v>
      </c>
      <c r="G30" s="19">
        <v>40690</v>
      </c>
      <c r="M30" s="2"/>
      <c r="N30" s="2"/>
      <c r="O30" s="2"/>
      <c r="U30" s="2"/>
      <c r="V30" s="2"/>
      <c r="W30" s="2"/>
    </row>
    <row r="31" spans="1:23" x14ac:dyDescent="0.4">
      <c r="A31" s="11">
        <v>44902</v>
      </c>
      <c r="B31" s="11">
        <v>44869</v>
      </c>
      <c r="C31" s="11">
        <v>44897</v>
      </c>
      <c r="D31" s="12">
        <v>29</v>
      </c>
      <c r="E31" s="12">
        <v>608081</v>
      </c>
      <c r="F31" s="15" t="s">
        <v>9</v>
      </c>
      <c r="G31" s="19">
        <v>27606</v>
      </c>
      <c r="M31" s="2"/>
      <c r="N31" s="2"/>
      <c r="O31" s="2"/>
      <c r="U31" s="2"/>
      <c r="V31" s="2"/>
      <c r="W31" s="2"/>
    </row>
    <row r="32" spans="1:23" x14ac:dyDescent="0.4">
      <c r="A32" s="11">
        <v>44880</v>
      </c>
      <c r="B32" s="11">
        <v>44836</v>
      </c>
      <c r="C32" s="11">
        <v>44868</v>
      </c>
      <c r="D32" s="12">
        <v>33</v>
      </c>
      <c r="E32" s="12">
        <v>580475</v>
      </c>
      <c r="F32" s="15" t="s">
        <v>9</v>
      </c>
      <c r="G32" s="19">
        <v>21552</v>
      </c>
      <c r="M32" s="2"/>
      <c r="N32" s="2"/>
      <c r="O32" s="2"/>
      <c r="U32" s="2"/>
      <c r="V32" s="2"/>
      <c r="W32" s="2"/>
    </row>
    <row r="33" spans="1:23" x14ac:dyDescent="0.4">
      <c r="A33" s="11">
        <v>44847</v>
      </c>
      <c r="B33" s="11">
        <v>44807</v>
      </c>
      <c r="C33" s="11">
        <v>44835</v>
      </c>
      <c r="D33" s="12">
        <v>29</v>
      </c>
      <c r="E33" s="12">
        <v>558923</v>
      </c>
      <c r="F33" s="15" t="s">
        <v>9</v>
      </c>
      <c r="G33" s="19">
        <v>5051</v>
      </c>
      <c r="M33" s="2"/>
      <c r="N33" s="2"/>
      <c r="O33" s="2"/>
      <c r="U33" s="2"/>
      <c r="V33" s="2"/>
      <c r="W33" s="2"/>
    </row>
    <row r="34" spans="1:23" x14ac:dyDescent="0.4">
      <c r="A34" s="11">
        <v>44818</v>
      </c>
      <c r="B34" s="11">
        <v>44776</v>
      </c>
      <c r="C34" s="11">
        <v>44806</v>
      </c>
      <c r="D34" s="12">
        <v>31</v>
      </c>
      <c r="E34" s="12">
        <v>553872</v>
      </c>
      <c r="F34" s="15" t="s">
        <v>9</v>
      </c>
      <c r="G34" s="19">
        <v>5266</v>
      </c>
      <c r="M34" s="2"/>
      <c r="N34" s="2"/>
      <c r="O34" s="2"/>
      <c r="U34" s="2"/>
      <c r="V34" s="2"/>
      <c r="W34" s="2"/>
    </row>
    <row r="35" spans="1:23" x14ac:dyDescent="0.4">
      <c r="A35" s="11">
        <v>44785</v>
      </c>
      <c r="B35" s="11">
        <v>44751</v>
      </c>
      <c r="C35" s="11">
        <v>44775</v>
      </c>
      <c r="D35" s="12">
        <v>25</v>
      </c>
      <c r="E35" s="12">
        <v>548606</v>
      </c>
      <c r="F35" s="15" t="s">
        <v>9</v>
      </c>
      <c r="G35" s="19">
        <v>4629</v>
      </c>
      <c r="M35" s="2"/>
      <c r="N35" s="2"/>
      <c r="O35" s="2"/>
      <c r="U35" s="2"/>
      <c r="V35" s="2"/>
      <c r="W35" s="2"/>
    </row>
    <row r="36" spans="1:23" x14ac:dyDescent="0.4">
      <c r="A36" s="11">
        <v>44757</v>
      </c>
      <c r="B36" s="11">
        <v>44719</v>
      </c>
      <c r="C36" s="11">
        <v>44750</v>
      </c>
      <c r="D36" s="12">
        <v>32</v>
      </c>
      <c r="E36" s="12">
        <v>543977</v>
      </c>
      <c r="F36" s="15" t="s">
        <v>9</v>
      </c>
      <c r="G36" s="19">
        <v>6719</v>
      </c>
      <c r="M36" s="2"/>
      <c r="N36" s="2"/>
      <c r="O36" s="2"/>
      <c r="U36" s="2"/>
      <c r="V36" s="2"/>
      <c r="W36" s="2"/>
    </row>
    <row r="37" spans="1:23" x14ac:dyDescent="0.4">
      <c r="A37" s="11">
        <v>44721</v>
      </c>
      <c r="B37" s="11">
        <v>44684</v>
      </c>
      <c r="C37" s="11">
        <v>44718</v>
      </c>
      <c r="D37" s="12">
        <v>35</v>
      </c>
      <c r="E37" s="12">
        <v>537258</v>
      </c>
      <c r="F37" s="15" t="s">
        <v>9</v>
      </c>
      <c r="G37" s="19">
        <v>14252</v>
      </c>
      <c r="M37" s="2"/>
      <c r="N37" s="2"/>
      <c r="O37" s="2"/>
      <c r="U37" s="2"/>
      <c r="V37" s="2"/>
      <c r="W37" s="2"/>
    </row>
    <row r="38" spans="1:23" x14ac:dyDescent="0.4">
      <c r="A38" s="11">
        <v>44687</v>
      </c>
      <c r="B38" s="11">
        <v>44656</v>
      </c>
      <c r="C38" s="11">
        <v>44683</v>
      </c>
      <c r="D38" s="12">
        <v>28</v>
      </c>
      <c r="E38" s="12">
        <v>523006</v>
      </c>
      <c r="F38" s="15" t="s">
        <v>9</v>
      </c>
      <c r="G38" s="19">
        <v>26821</v>
      </c>
      <c r="M38" s="2"/>
      <c r="N38" s="2"/>
      <c r="O38" s="2"/>
      <c r="U38" s="2"/>
      <c r="V38" s="2"/>
      <c r="W38" s="2"/>
    </row>
    <row r="39" spans="1:23" x14ac:dyDescent="0.4">
      <c r="A39" s="11">
        <v>44663</v>
      </c>
      <c r="B39" s="11">
        <v>44622</v>
      </c>
      <c r="C39" s="11">
        <v>44655</v>
      </c>
      <c r="D39" s="12">
        <v>34</v>
      </c>
      <c r="E39" s="12">
        <v>496185</v>
      </c>
      <c r="F39" s="15" t="s">
        <v>9</v>
      </c>
      <c r="G39" s="19">
        <v>39070</v>
      </c>
      <c r="M39" s="2"/>
      <c r="N39" s="2"/>
      <c r="O39" s="2"/>
      <c r="U39" s="2"/>
      <c r="V39" s="2"/>
      <c r="W39" s="2"/>
    </row>
    <row r="40" spans="1:23" x14ac:dyDescent="0.4">
      <c r="A40" s="11">
        <v>44628</v>
      </c>
      <c r="B40" s="11">
        <v>44594</v>
      </c>
      <c r="C40" s="11">
        <v>44621</v>
      </c>
      <c r="D40" s="12">
        <v>28</v>
      </c>
      <c r="E40" s="12">
        <v>457115</v>
      </c>
      <c r="F40" s="15" t="s">
        <v>9</v>
      </c>
      <c r="G40" s="19">
        <v>35554</v>
      </c>
      <c r="M40" s="2"/>
      <c r="N40" s="2"/>
      <c r="O40" s="2"/>
      <c r="U40" s="2"/>
      <c r="V40" s="2"/>
      <c r="W40" s="2"/>
    </row>
    <row r="41" spans="1:23" x14ac:dyDescent="0.4">
      <c r="A41" s="11">
        <v>44602</v>
      </c>
      <c r="B41" s="11">
        <v>44567</v>
      </c>
      <c r="C41" s="11">
        <v>44593</v>
      </c>
      <c r="D41" s="12">
        <v>27</v>
      </c>
      <c r="E41" s="12">
        <v>421561</v>
      </c>
      <c r="F41" s="15" t="s">
        <v>9</v>
      </c>
      <c r="G41" s="19">
        <v>35909</v>
      </c>
      <c r="M41" s="2"/>
      <c r="N41" s="2"/>
      <c r="O41" s="2"/>
      <c r="U41" s="2"/>
      <c r="V41" s="2"/>
      <c r="W41" s="2"/>
    </row>
    <row r="42" spans="1:23" x14ac:dyDescent="0.4">
      <c r="A42" s="11">
        <v>44572</v>
      </c>
      <c r="B42" s="11">
        <v>44534</v>
      </c>
      <c r="C42" s="11">
        <v>44566</v>
      </c>
      <c r="D42" s="12">
        <v>33</v>
      </c>
      <c r="E42" s="12">
        <v>385652</v>
      </c>
      <c r="F42" s="15" t="s">
        <v>9</v>
      </c>
      <c r="G42" s="19">
        <v>36914</v>
      </c>
      <c r="M42" s="2"/>
      <c r="N42" s="2"/>
      <c r="O42" s="2"/>
      <c r="U42" s="2"/>
      <c r="V42" s="2"/>
      <c r="W42" s="2"/>
    </row>
    <row r="43" spans="1:23" x14ac:dyDescent="0.4">
      <c r="A43" s="11">
        <v>44539</v>
      </c>
      <c r="B43" s="11">
        <v>44503</v>
      </c>
      <c r="C43" s="11">
        <v>44533</v>
      </c>
      <c r="D43" s="12">
        <v>31</v>
      </c>
      <c r="E43" s="12">
        <v>348738</v>
      </c>
      <c r="F43" s="15" t="s">
        <v>9</v>
      </c>
      <c r="G43" s="19">
        <v>29501</v>
      </c>
      <c r="M43" s="2"/>
      <c r="N43" s="2"/>
      <c r="O43" s="2"/>
      <c r="U43" s="2"/>
      <c r="V43" s="2"/>
      <c r="W43" s="2"/>
    </row>
    <row r="44" spans="1:23" x14ac:dyDescent="0.4">
      <c r="A44" s="11">
        <v>44509</v>
      </c>
      <c r="B44" s="11">
        <v>44471</v>
      </c>
      <c r="C44" s="11">
        <v>44502</v>
      </c>
      <c r="D44" s="12">
        <v>32</v>
      </c>
      <c r="E44" s="12">
        <v>319237</v>
      </c>
      <c r="F44" s="15" t="s">
        <v>9</v>
      </c>
      <c r="G44" s="19">
        <v>11816</v>
      </c>
      <c r="M44" s="2"/>
      <c r="N44" s="2"/>
      <c r="O44" s="2"/>
      <c r="U44" s="2"/>
      <c r="V44" s="2"/>
      <c r="W44" s="2"/>
    </row>
    <row r="45" spans="1:23" x14ac:dyDescent="0.4">
      <c r="A45" s="11">
        <v>44481</v>
      </c>
      <c r="B45" s="11">
        <v>44441</v>
      </c>
      <c r="C45" s="11">
        <v>44470</v>
      </c>
      <c r="D45" s="12">
        <v>30</v>
      </c>
      <c r="E45" s="12">
        <v>307421</v>
      </c>
      <c r="F45" s="15" t="s">
        <v>9</v>
      </c>
      <c r="G45" s="19">
        <v>5938</v>
      </c>
      <c r="M45" s="2"/>
      <c r="O45" s="2"/>
      <c r="U45" s="2"/>
      <c r="W45" s="2"/>
    </row>
    <row r="46" spans="1:23" x14ac:dyDescent="0.4">
      <c r="A46" s="11">
        <v>44449</v>
      </c>
      <c r="B46" s="11">
        <v>44410</v>
      </c>
      <c r="C46" s="11">
        <v>44440</v>
      </c>
      <c r="D46" s="12">
        <v>31</v>
      </c>
      <c r="E46" s="12">
        <v>301483</v>
      </c>
      <c r="F46" s="15" t="s">
        <v>9</v>
      </c>
      <c r="G46" s="19">
        <v>5252</v>
      </c>
      <c r="M46" s="2"/>
      <c r="O46" s="2"/>
      <c r="U46" s="2"/>
      <c r="W46" s="2"/>
    </row>
    <row r="47" spans="1:23" x14ac:dyDescent="0.4">
      <c r="A47" s="11">
        <v>44417</v>
      </c>
      <c r="B47" s="11">
        <v>44379</v>
      </c>
      <c r="C47" s="11">
        <v>44409</v>
      </c>
      <c r="D47" s="12">
        <v>31</v>
      </c>
      <c r="E47" s="12">
        <v>296231</v>
      </c>
      <c r="F47" s="15" t="s">
        <v>9</v>
      </c>
      <c r="G47" s="19">
        <v>4966</v>
      </c>
      <c r="M47" s="2"/>
      <c r="O47" s="2"/>
      <c r="U47" s="2"/>
      <c r="W47" s="2"/>
    </row>
    <row r="48" spans="1:23" x14ac:dyDescent="0.4">
      <c r="A48" s="11">
        <v>44390</v>
      </c>
      <c r="B48" s="11">
        <v>44349</v>
      </c>
      <c r="C48" s="11">
        <v>44378</v>
      </c>
      <c r="D48" s="12">
        <v>30</v>
      </c>
      <c r="E48" s="12">
        <v>291265</v>
      </c>
      <c r="F48" s="15" t="s">
        <v>9</v>
      </c>
      <c r="G48" s="19">
        <v>5246</v>
      </c>
      <c r="M48" s="2"/>
      <c r="O48" s="2"/>
      <c r="U48" s="2"/>
      <c r="W48" s="2"/>
    </row>
    <row r="49" spans="1:23" x14ac:dyDescent="0.4">
      <c r="A49" s="11">
        <v>44351</v>
      </c>
      <c r="B49" s="11">
        <v>44321</v>
      </c>
      <c r="C49" s="11">
        <v>44348</v>
      </c>
      <c r="D49" s="12">
        <v>28</v>
      </c>
      <c r="E49" s="12">
        <v>286019</v>
      </c>
      <c r="F49" s="15" t="s">
        <v>9</v>
      </c>
      <c r="G49" s="5">
        <v>13473</v>
      </c>
      <c r="M49" s="2"/>
      <c r="O49" s="2"/>
      <c r="U49" s="2"/>
      <c r="W49" s="2"/>
    </row>
    <row r="50" spans="1:23" x14ac:dyDescent="0.4">
      <c r="A50" s="11">
        <v>44326</v>
      </c>
      <c r="B50" s="11">
        <v>44288</v>
      </c>
      <c r="C50" s="11">
        <v>44320</v>
      </c>
      <c r="D50" s="12">
        <v>33</v>
      </c>
      <c r="E50" s="12">
        <v>272546</v>
      </c>
      <c r="F50" s="15" t="s">
        <v>9</v>
      </c>
      <c r="G50" s="5">
        <v>28317</v>
      </c>
      <c r="M50" s="2"/>
      <c r="O50" s="2"/>
      <c r="U50" s="2"/>
      <c r="W50" s="2"/>
    </row>
    <row r="51" spans="1:23" x14ac:dyDescent="0.4">
      <c r="A51" s="11">
        <v>44298</v>
      </c>
      <c r="B51" s="11">
        <v>44260</v>
      </c>
      <c r="C51" s="11">
        <v>44287</v>
      </c>
      <c r="D51" s="12">
        <v>28</v>
      </c>
      <c r="E51" s="12">
        <v>244229</v>
      </c>
      <c r="F51" s="15" t="s">
        <v>9</v>
      </c>
      <c r="G51" s="5">
        <v>30957</v>
      </c>
      <c r="M51" s="2"/>
      <c r="O51" s="2"/>
      <c r="U51" s="2"/>
      <c r="W51" s="2"/>
    </row>
    <row r="52" spans="1:23" x14ac:dyDescent="0.4">
      <c r="A52" s="11">
        <v>44266</v>
      </c>
      <c r="B52" s="11">
        <v>44231</v>
      </c>
      <c r="C52" s="11">
        <v>44259</v>
      </c>
      <c r="D52" s="12">
        <v>29</v>
      </c>
      <c r="E52" s="12">
        <v>213272</v>
      </c>
      <c r="F52" s="15" t="s">
        <v>9</v>
      </c>
      <c r="G52" s="5">
        <v>39656</v>
      </c>
      <c r="M52" s="2"/>
      <c r="O52" s="2"/>
      <c r="U52" s="2"/>
      <c r="W52" s="2"/>
    </row>
    <row r="53" spans="1:23" x14ac:dyDescent="0.4">
      <c r="A53" s="11">
        <v>44237</v>
      </c>
      <c r="B53" s="11">
        <v>44202</v>
      </c>
      <c r="C53" s="11">
        <v>44230</v>
      </c>
      <c r="D53" s="12">
        <v>29</v>
      </c>
      <c r="E53" s="12">
        <v>173616</v>
      </c>
      <c r="F53" s="15" t="s">
        <v>9</v>
      </c>
      <c r="G53" s="5">
        <v>33778</v>
      </c>
      <c r="M53" s="2"/>
      <c r="O53" s="2"/>
      <c r="U53" s="2"/>
      <c r="W53" s="2"/>
    </row>
    <row r="54" spans="1:23" x14ac:dyDescent="0.4">
      <c r="A54" s="11">
        <v>44208</v>
      </c>
      <c r="B54" s="11">
        <v>44173</v>
      </c>
      <c r="C54" s="11">
        <v>44201</v>
      </c>
      <c r="D54" s="12">
        <v>29</v>
      </c>
      <c r="E54" s="12">
        <v>139838</v>
      </c>
      <c r="F54" s="15" t="s">
        <v>9</v>
      </c>
      <c r="G54" s="5">
        <v>34331</v>
      </c>
      <c r="M54" s="2"/>
      <c r="O54" s="2"/>
      <c r="U54" s="2"/>
      <c r="W54" s="2"/>
    </row>
    <row r="55" spans="1:23" x14ac:dyDescent="0.4">
      <c r="A55" s="11">
        <v>44179</v>
      </c>
      <c r="B55" s="11">
        <v>44139</v>
      </c>
      <c r="C55" s="11">
        <v>44172</v>
      </c>
      <c r="D55" s="12">
        <v>34</v>
      </c>
      <c r="E55" s="12">
        <v>105507</v>
      </c>
      <c r="F55" s="15" t="s">
        <v>9</v>
      </c>
      <c r="G55" s="5">
        <v>34928</v>
      </c>
      <c r="M55" s="2"/>
      <c r="O55" s="2"/>
      <c r="U55" s="2"/>
      <c r="W55" s="2"/>
    </row>
    <row r="56" spans="1:23" x14ac:dyDescent="0.4">
      <c r="A56" s="11">
        <v>44146</v>
      </c>
      <c r="B56" s="11">
        <v>44108</v>
      </c>
      <c r="C56" s="11">
        <v>44138</v>
      </c>
      <c r="D56" s="12">
        <v>31</v>
      </c>
      <c r="E56" s="12">
        <v>70579</v>
      </c>
      <c r="F56" s="15" t="s">
        <v>9</v>
      </c>
      <c r="G56" s="5">
        <v>15317</v>
      </c>
      <c r="M56" s="2"/>
      <c r="O56" s="2"/>
      <c r="U56" s="2"/>
      <c r="W56" s="2"/>
    </row>
    <row r="57" spans="1:23" x14ac:dyDescent="0.4">
      <c r="A57" s="11">
        <v>44117</v>
      </c>
      <c r="B57" s="11">
        <v>44078</v>
      </c>
      <c r="C57" s="11">
        <v>44107</v>
      </c>
      <c r="D57" s="12">
        <v>30</v>
      </c>
      <c r="E57" s="12">
        <v>55262</v>
      </c>
      <c r="F57" s="15" t="s">
        <v>9</v>
      </c>
      <c r="G57" s="5">
        <v>6144</v>
      </c>
      <c r="M57" s="2"/>
      <c r="O57" s="2"/>
      <c r="U57" s="2"/>
      <c r="W57" s="2"/>
    </row>
    <row r="58" spans="1:23" x14ac:dyDescent="0.4">
      <c r="A58" s="11">
        <v>44088</v>
      </c>
      <c r="B58" s="11">
        <v>44050</v>
      </c>
      <c r="C58" s="11">
        <v>44077</v>
      </c>
      <c r="D58" s="12">
        <v>28</v>
      </c>
      <c r="E58" s="12">
        <v>49118</v>
      </c>
      <c r="F58" s="15" t="s">
        <v>9</v>
      </c>
      <c r="G58" s="5">
        <v>5045</v>
      </c>
      <c r="M58" s="2"/>
      <c r="O58" s="2"/>
      <c r="U58" s="2"/>
      <c r="W58" s="2"/>
    </row>
    <row r="59" spans="1:23" x14ac:dyDescent="0.4">
      <c r="A59" s="11">
        <v>44055</v>
      </c>
      <c r="B59" s="11">
        <v>44016</v>
      </c>
      <c r="C59" s="11">
        <v>44049</v>
      </c>
      <c r="D59" s="12">
        <v>34</v>
      </c>
      <c r="E59" s="12">
        <v>44073</v>
      </c>
      <c r="F59" s="15" t="s">
        <v>9</v>
      </c>
      <c r="G59" s="5">
        <v>6201</v>
      </c>
      <c r="M59" s="2"/>
      <c r="O59" s="2"/>
      <c r="U59" s="2"/>
      <c r="W59" s="2"/>
    </row>
    <row r="60" spans="1:23" x14ac:dyDescent="0.4">
      <c r="A60" s="11">
        <v>44027</v>
      </c>
      <c r="B60" s="11">
        <v>43986</v>
      </c>
      <c r="C60" s="11">
        <v>44015</v>
      </c>
      <c r="D60" s="12">
        <v>30</v>
      </c>
      <c r="E60" s="12">
        <v>37872</v>
      </c>
      <c r="F60" s="15" t="s">
        <v>9</v>
      </c>
      <c r="G60" s="5">
        <v>6328</v>
      </c>
      <c r="M60" s="2"/>
      <c r="O60" s="2"/>
      <c r="U60" s="2"/>
      <c r="W60" s="2"/>
    </row>
    <row r="61" spans="1:23" x14ac:dyDescent="0.4">
      <c r="A61" s="11">
        <v>43993</v>
      </c>
      <c r="B61" s="11">
        <v>43956</v>
      </c>
      <c r="C61" s="11">
        <v>43985</v>
      </c>
      <c r="D61" s="12">
        <v>30</v>
      </c>
      <c r="E61" s="12">
        <v>31544</v>
      </c>
      <c r="F61" s="15" t="s">
        <v>9</v>
      </c>
      <c r="G61" s="5">
        <v>16510</v>
      </c>
      <c r="M61" s="2"/>
      <c r="O61" s="2"/>
      <c r="U61" s="2"/>
      <c r="W61" s="2"/>
    </row>
    <row r="62" spans="1:23" x14ac:dyDescent="0.4">
      <c r="A62" s="11">
        <v>43966</v>
      </c>
      <c r="B62" s="11">
        <v>43894</v>
      </c>
      <c r="C62" s="11">
        <v>43955</v>
      </c>
      <c r="D62" s="12">
        <v>62</v>
      </c>
      <c r="E62" s="12">
        <v>15034</v>
      </c>
      <c r="F62" s="15" t="s">
        <v>9</v>
      </c>
      <c r="G62" s="5">
        <v>71990</v>
      </c>
      <c r="M62" s="2"/>
      <c r="O62" s="2"/>
      <c r="U62" s="2"/>
      <c r="W62" s="2"/>
    </row>
    <row r="63" spans="1:23" x14ac:dyDescent="0.4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4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4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4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4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4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4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4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4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4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4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4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4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4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4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4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4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4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4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4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4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4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4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4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4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4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4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4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4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4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4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4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4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4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4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4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4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4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4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4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4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4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4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4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4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4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4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4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4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4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4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4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4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4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4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4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4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4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4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4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4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4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4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4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4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4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4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4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4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4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4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4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4">
      <c r="F135" s="18"/>
      <c r="M135" s="2"/>
      <c r="O135" s="2"/>
      <c r="U135" s="2"/>
      <c r="W135" s="2"/>
    </row>
    <row r="136" spans="1:23" x14ac:dyDescent="0.4">
      <c r="F136" s="18"/>
      <c r="M136" s="2"/>
      <c r="O136" s="2"/>
      <c r="U136" s="2"/>
      <c r="W136" s="2"/>
    </row>
    <row r="137" spans="1:23" x14ac:dyDescent="0.4">
      <c r="F137" s="18"/>
      <c r="M137" s="2"/>
      <c r="O137" s="2"/>
      <c r="U137" s="2"/>
      <c r="W137" s="2"/>
    </row>
    <row r="138" spans="1:23" x14ac:dyDescent="0.4">
      <c r="F138" s="18"/>
      <c r="M138" s="2"/>
      <c r="O138" s="2"/>
      <c r="U138" s="2"/>
      <c r="W138" s="2"/>
    </row>
    <row r="139" spans="1:23" x14ac:dyDescent="0.4">
      <c r="F139" s="18"/>
      <c r="M139" s="2"/>
      <c r="O139" s="2"/>
      <c r="U139" s="2"/>
      <c r="W139" s="2"/>
    </row>
    <row r="140" spans="1:23" x14ac:dyDescent="0.4">
      <c r="F140" s="18"/>
      <c r="M140" s="2"/>
      <c r="O140" s="2"/>
      <c r="U140" s="2"/>
      <c r="W140" s="2"/>
    </row>
    <row r="141" spans="1:23" x14ac:dyDescent="0.4">
      <c r="F141" s="18"/>
      <c r="M141" s="2"/>
      <c r="O141" s="2"/>
      <c r="U141" s="2"/>
      <c r="W141" s="2"/>
    </row>
    <row r="142" spans="1:23" x14ac:dyDescent="0.4">
      <c r="F142" s="18"/>
      <c r="M142" s="2"/>
      <c r="O142" s="2"/>
      <c r="U142" s="2"/>
      <c r="W142" s="2"/>
    </row>
    <row r="143" spans="1:23" x14ac:dyDescent="0.4">
      <c r="F143" s="18"/>
      <c r="M143" s="2"/>
      <c r="O143" s="2"/>
      <c r="U143" s="2"/>
      <c r="W143" s="2"/>
    </row>
    <row r="144" spans="1:23" x14ac:dyDescent="0.4">
      <c r="F144" s="18"/>
      <c r="M144" s="2"/>
      <c r="O144" s="2"/>
      <c r="U144" s="2"/>
      <c r="W144" s="2"/>
    </row>
    <row r="145" spans="6:23" x14ac:dyDescent="0.4">
      <c r="F145" s="18"/>
      <c r="M145" s="2"/>
      <c r="O145" s="2"/>
      <c r="U145" s="2"/>
      <c r="W145" s="2"/>
    </row>
    <row r="146" spans="6:23" x14ac:dyDescent="0.4">
      <c r="F146" s="18"/>
      <c r="M146" s="2"/>
      <c r="O146" s="2"/>
      <c r="U146" s="2"/>
      <c r="W146" s="2"/>
    </row>
    <row r="147" spans="6:23" x14ac:dyDescent="0.4">
      <c r="F147" s="18"/>
      <c r="M147" s="2"/>
      <c r="O147" s="2"/>
      <c r="U147" s="2"/>
      <c r="W147" s="2"/>
    </row>
    <row r="148" spans="6:23" x14ac:dyDescent="0.4">
      <c r="F148" s="18"/>
      <c r="M148" s="2"/>
      <c r="O148" s="2"/>
      <c r="U148" s="2"/>
      <c r="W148" s="2"/>
    </row>
    <row r="149" spans="6:23" x14ac:dyDescent="0.4">
      <c r="F149" s="18"/>
      <c r="M149" s="2"/>
      <c r="O149" s="2"/>
      <c r="U149" s="2"/>
      <c r="W149" s="2"/>
    </row>
    <row r="150" spans="6:23" x14ac:dyDescent="0.4">
      <c r="F150" s="18"/>
      <c r="M150" s="2"/>
      <c r="O150" s="2"/>
      <c r="U150" s="2"/>
      <c r="W150" s="2"/>
    </row>
    <row r="151" spans="6:23" x14ac:dyDescent="0.4">
      <c r="F151" s="18"/>
      <c r="M151" s="2"/>
      <c r="O151" s="2"/>
      <c r="U151" s="2"/>
      <c r="W151" s="2"/>
    </row>
    <row r="152" spans="6:23" x14ac:dyDescent="0.4">
      <c r="F152" s="18"/>
      <c r="M152" s="2"/>
      <c r="O152" s="2"/>
      <c r="U152" s="2"/>
      <c r="W152" s="2"/>
    </row>
    <row r="153" spans="6:23" x14ac:dyDescent="0.4">
      <c r="F153" s="18"/>
      <c r="M153" s="2"/>
      <c r="O153" s="2"/>
      <c r="U153" s="2"/>
      <c r="W153" s="2"/>
    </row>
    <row r="154" spans="6:23" x14ac:dyDescent="0.4">
      <c r="F154" s="18"/>
      <c r="M154" s="2"/>
      <c r="O154" s="2"/>
      <c r="U154" s="2"/>
      <c r="W154" s="2"/>
    </row>
    <row r="155" spans="6:23" x14ac:dyDescent="0.4">
      <c r="F155" s="18"/>
      <c r="M155" s="2"/>
      <c r="O155" s="2"/>
      <c r="U155" s="2"/>
      <c r="W155" s="2"/>
    </row>
    <row r="156" spans="6:23" x14ac:dyDescent="0.4">
      <c r="F156" s="18"/>
      <c r="M156" s="2"/>
      <c r="O156" s="2"/>
      <c r="U156" s="2"/>
      <c r="W156" s="2"/>
    </row>
    <row r="157" spans="6:23" x14ac:dyDescent="0.4">
      <c r="F157" s="18"/>
      <c r="M157" s="2"/>
      <c r="O157" s="2"/>
      <c r="U157" s="2"/>
      <c r="W157" s="2"/>
    </row>
    <row r="158" spans="6:23" x14ac:dyDescent="0.4">
      <c r="F158" s="18"/>
      <c r="M158" s="2"/>
      <c r="O158" s="2"/>
      <c r="U158" s="2"/>
      <c r="W158" s="2"/>
    </row>
    <row r="159" spans="6:23" x14ac:dyDescent="0.4">
      <c r="F159" s="18"/>
      <c r="M159" s="2"/>
      <c r="O159" s="2"/>
      <c r="U159" s="2"/>
      <c r="W159" s="2"/>
    </row>
    <row r="160" spans="6:23" x14ac:dyDescent="0.4">
      <c r="F160" s="18"/>
      <c r="M160" s="2"/>
      <c r="O160" s="2"/>
      <c r="U160" s="2"/>
      <c r="W160" s="2"/>
    </row>
    <row r="161" spans="6:23" x14ac:dyDescent="0.4">
      <c r="F161" s="18"/>
      <c r="M161" s="2"/>
      <c r="O161" s="2"/>
      <c r="U161" s="2"/>
      <c r="W161" s="2"/>
    </row>
    <row r="162" spans="6:23" x14ac:dyDescent="0.4">
      <c r="F162" s="18"/>
      <c r="M162" s="2"/>
      <c r="O162" s="2"/>
      <c r="U162" s="2"/>
      <c r="W162" s="2"/>
    </row>
    <row r="163" spans="6:23" x14ac:dyDescent="0.4">
      <c r="F163" s="18"/>
      <c r="M163" s="2"/>
      <c r="O163" s="2"/>
      <c r="U163" s="2"/>
      <c r="W163" s="2"/>
    </row>
    <row r="164" spans="6:23" x14ac:dyDescent="0.4">
      <c r="F164" s="18"/>
      <c r="M164" s="2"/>
      <c r="O164" s="2"/>
      <c r="U164" s="2"/>
      <c r="W164" s="2"/>
    </row>
    <row r="165" spans="6:23" x14ac:dyDescent="0.4">
      <c r="F165" s="18"/>
      <c r="M165" s="2"/>
      <c r="O165" s="2"/>
      <c r="U165" s="2"/>
      <c r="W165" s="2"/>
    </row>
    <row r="166" spans="6:23" x14ac:dyDescent="0.4">
      <c r="F166" s="18"/>
      <c r="M166" s="2"/>
      <c r="O166" s="2"/>
      <c r="U166" s="2"/>
      <c r="W166" s="2"/>
    </row>
    <row r="167" spans="6:23" x14ac:dyDescent="0.4">
      <c r="F167" s="18"/>
      <c r="M167" s="2"/>
      <c r="O167" s="2"/>
      <c r="U167" s="2"/>
      <c r="W167" s="2"/>
    </row>
    <row r="168" spans="6:23" x14ac:dyDescent="0.4">
      <c r="F168" s="18"/>
      <c r="M168" s="2"/>
      <c r="O168" s="2"/>
      <c r="U168" s="2"/>
      <c r="W168" s="2"/>
    </row>
    <row r="169" spans="6:23" x14ac:dyDescent="0.4">
      <c r="F169" s="18"/>
      <c r="M169" s="2"/>
      <c r="O169" s="2"/>
      <c r="U169" s="2"/>
      <c r="W169" s="2"/>
    </row>
    <row r="170" spans="6:23" x14ac:dyDescent="0.4">
      <c r="F170" s="18"/>
      <c r="M170" s="2"/>
      <c r="O170" s="2"/>
      <c r="U170" s="2"/>
      <c r="W170" s="2"/>
    </row>
    <row r="171" spans="6:23" x14ac:dyDescent="0.4">
      <c r="F171" s="18"/>
      <c r="M171" s="2"/>
      <c r="O171" s="2"/>
      <c r="U171" s="2"/>
      <c r="W171" s="2"/>
    </row>
    <row r="172" spans="6:23" x14ac:dyDescent="0.4">
      <c r="F172" s="18"/>
      <c r="M172" s="2"/>
      <c r="O172" s="2"/>
      <c r="U172" s="2"/>
      <c r="W172" s="2"/>
    </row>
    <row r="173" spans="6:23" x14ac:dyDescent="0.4">
      <c r="F173" s="18"/>
      <c r="M173" s="2"/>
      <c r="O173" s="2"/>
      <c r="U173" s="2"/>
      <c r="W173" s="2"/>
    </row>
    <row r="174" spans="6:23" x14ac:dyDescent="0.4">
      <c r="F174" s="18"/>
      <c r="M174" s="2"/>
      <c r="O174" s="2"/>
      <c r="U174" s="2"/>
      <c r="W174" s="2"/>
    </row>
    <row r="175" spans="6:23" x14ac:dyDescent="0.4">
      <c r="F175" s="18"/>
      <c r="M175" s="2"/>
      <c r="O175" s="2"/>
      <c r="U175" s="2"/>
      <c r="W175" s="2"/>
    </row>
    <row r="176" spans="6:23" x14ac:dyDescent="0.4">
      <c r="F176" s="18"/>
      <c r="M176" s="2"/>
      <c r="O176" s="2"/>
      <c r="U176" s="2"/>
      <c r="W176" s="2"/>
    </row>
    <row r="177" spans="6:23" x14ac:dyDescent="0.4">
      <c r="F177" s="18"/>
      <c r="M177" s="2"/>
      <c r="O177" s="2"/>
      <c r="U177" s="2"/>
      <c r="W177" s="2"/>
    </row>
    <row r="178" spans="6:23" x14ac:dyDescent="0.4">
      <c r="F178" s="18"/>
      <c r="M178" s="2"/>
      <c r="O178" s="2"/>
      <c r="U178" s="2"/>
      <c r="W178" s="2"/>
    </row>
    <row r="179" spans="6:23" x14ac:dyDescent="0.4">
      <c r="F179" s="18"/>
      <c r="M179" s="2"/>
      <c r="O179" s="2"/>
      <c r="U179" s="2"/>
      <c r="W179" s="2"/>
    </row>
    <row r="180" spans="6:23" x14ac:dyDescent="0.4">
      <c r="F180" s="18"/>
      <c r="M180" s="2"/>
      <c r="O180" s="2"/>
      <c r="U180" s="2"/>
      <c r="W180" s="2"/>
    </row>
    <row r="181" spans="6:23" x14ac:dyDescent="0.4">
      <c r="F181" s="18"/>
      <c r="M181" s="2"/>
      <c r="O181" s="2"/>
      <c r="U181" s="2"/>
      <c r="W181" s="2"/>
    </row>
    <row r="182" spans="6:23" x14ac:dyDescent="0.4">
      <c r="F182" s="18"/>
      <c r="M182" s="2"/>
      <c r="O182" s="2"/>
      <c r="U182" s="2"/>
      <c r="W182" s="2"/>
    </row>
    <row r="183" spans="6:23" x14ac:dyDescent="0.4">
      <c r="F183" s="18"/>
      <c r="M183" s="2"/>
      <c r="O183" s="2"/>
      <c r="U183" s="2"/>
      <c r="W183" s="2"/>
    </row>
    <row r="184" spans="6:23" x14ac:dyDescent="0.4">
      <c r="F184" s="18"/>
      <c r="M184" s="2"/>
      <c r="O184" s="2"/>
      <c r="U184" s="2"/>
      <c r="W184" s="2"/>
    </row>
    <row r="185" spans="6:23" x14ac:dyDescent="0.4">
      <c r="F185" s="18"/>
      <c r="M185" s="2"/>
      <c r="O185" s="2"/>
      <c r="U185" s="2"/>
      <c r="W185" s="2"/>
    </row>
    <row r="186" spans="6:23" x14ac:dyDescent="0.4">
      <c r="F186" s="18"/>
      <c r="M186" s="2"/>
      <c r="O186" s="2"/>
      <c r="U186" s="2"/>
      <c r="W186" s="2"/>
    </row>
    <row r="187" spans="6:23" x14ac:dyDescent="0.4">
      <c r="F187" s="18"/>
      <c r="M187" s="2"/>
      <c r="O187" s="2"/>
      <c r="U187" s="2"/>
      <c r="W187" s="2"/>
    </row>
    <row r="188" spans="6:23" x14ac:dyDescent="0.4">
      <c r="F188" s="18"/>
      <c r="M188" s="2"/>
      <c r="O188" s="2"/>
      <c r="U188" s="2"/>
      <c r="W188" s="2"/>
    </row>
    <row r="189" spans="6:23" x14ac:dyDescent="0.4">
      <c r="F189" s="18"/>
      <c r="M189" s="2"/>
      <c r="O189" s="2"/>
      <c r="U189" s="2"/>
      <c r="W189" s="2"/>
    </row>
    <row r="190" spans="6:23" x14ac:dyDescent="0.4">
      <c r="F190" s="18"/>
      <c r="M190" s="2"/>
      <c r="O190" s="2"/>
      <c r="U190" s="2"/>
      <c r="W190" s="2"/>
    </row>
    <row r="191" spans="6:23" x14ac:dyDescent="0.4">
      <c r="F191" s="18"/>
      <c r="M191" s="2"/>
      <c r="O191" s="2"/>
      <c r="U191" s="2"/>
      <c r="W191" s="2"/>
    </row>
    <row r="192" spans="6:23" x14ac:dyDescent="0.4">
      <c r="F192" s="18"/>
      <c r="M192" s="2"/>
      <c r="O192" s="2"/>
      <c r="U192" s="2"/>
      <c r="W192" s="2"/>
    </row>
    <row r="193" spans="6:23" x14ac:dyDescent="0.4">
      <c r="F193" s="18"/>
      <c r="M193" s="2"/>
      <c r="O193" s="2"/>
      <c r="U193" s="2"/>
      <c r="W193" s="2"/>
    </row>
    <row r="194" spans="6:23" x14ac:dyDescent="0.4">
      <c r="F194" s="18"/>
      <c r="M194" s="2"/>
      <c r="O194" s="2"/>
      <c r="U194" s="2"/>
      <c r="W194" s="2"/>
    </row>
    <row r="195" spans="6:23" x14ac:dyDescent="0.4">
      <c r="F195" s="18"/>
      <c r="M195" s="2"/>
      <c r="O195" s="2"/>
      <c r="U195" s="2"/>
      <c r="W195" s="2"/>
    </row>
    <row r="196" spans="6:23" x14ac:dyDescent="0.4">
      <c r="F196" s="18"/>
      <c r="M196" s="2"/>
      <c r="O196" s="2"/>
      <c r="U196" s="2"/>
      <c r="W196" s="2"/>
    </row>
    <row r="197" spans="6:23" x14ac:dyDescent="0.4">
      <c r="F197" s="18"/>
      <c r="M197" s="2"/>
      <c r="O197" s="2"/>
      <c r="U197" s="2"/>
      <c r="W197" s="2"/>
    </row>
    <row r="198" spans="6:23" x14ac:dyDescent="0.4">
      <c r="F198" s="18"/>
      <c r="M198" s="2"/>
      <c r="O198" s="2"/>
      <c r="U198" s="2"/>
      <c r="W198" s="2"/>
    </row>
    <row r="199" spans="6:23" x14ac:dyDescent="0.4">
      <c r="F199" s="18"/>
      <c r="M199" s="2"/>
      <c r="O199" s="2"/>
      <c r="U199" s="2"/>
      <c r="W199" s="2"/>
    </row>
    <row r="200" spans="6:23" x14ac:dyDescent="0.4">
      <c r="F200" s="18"/>
      <c r="M200" s="2"/>
      <c r="O200" s="2"/>
      <c r="U200" s="2"/>
      <c r="W200" s="2"/>
    </row>
    <row r="201" spans="6:23" x14ac:dyDescent="0.4">
      <c r="M201" s="2"/>
      <c r="O201" s="2"/>
      <c r="U201" s="2"/>
      <c r="W201" s="2"/>
    </row>
    <row r="202" spans="6:23" x14ac:dyDescent="0.4">
      <c r="M202" s="2"/>
      <c r="O202" s="2"/>
      <c r="U202" s="2"/>
      <c r="W202" s="2"/>
    </row>
    <row r="203" spans="6:23" x14ac:dyDescent="0.4">
      <c r="M203" s="2"/>
      <c r="O203" s="2"/>
      <c r="U203" s="2"/>
      <c r="W203" s="2"/>
    </row>
    <row r="204" spans="6:23" x14ac:dyDescent="0.4">
      <c r="M204" s="2"/>
      <c r="O204" s="2"/>
      <c r="U204" s="2"/>
      <c r="W204" s="2"/>
    </row>
    <row r="205" spans="6:23" x14ac:dyDescent="0.4">
      <c r="M205" s="2"/>
      <c r="O205" s="2"/>
      <c r="U205" s="2"/>
      <c r="W205" s="2"/>
    </row>
    <row r="206" spans="6:23" x14ac:dyDescent="0.4">
      <c r="M206" s="2"/>
      <c r="O206" s="2"/>
      <c r="U206" s="2"/>
      <c r="W206" s="2"/>
    </row>
    <row r="207" spans="6:23" x14ac:dyDescent="0.4">
      <c r="M207" s="2"/>
      <c r="O207" s="2"/>
      <c r="U207" s="2"/>
      <c r="W207" s="2"/>
    </row>
    <row r="208" spans="6:23" x14ac:dyDescent="0.4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58203125" defaultRowHeight="16" x14ac:dyDescent="0.4"/>
  <cols>
    <col min="1" max="1" width="47" customWidth="1"/>
    <col min="2" max="2" width="10.08203125" customWidth="1"/>
  </cols>
  <sheetData>
    <row r="1" spans="1:3" x14ac:dyDescent="0.4">
      <c r="A1" t="s">
        <v>10</v>
      </c>
    </row>
    <row r="3" spans="1:3" x14ac:dyDescent="0.4">
      <c r="A3" t="s">
        <v>0</v>
      </c>
      <c r="B3" t="str">
        <f>'DDD Model Calculations'!D19</f>
        <v>Toronto</v>
      </c>
    </row>
    <row r="5" spans="1:3" x14ac:dyDescent="0.4">
      <c r="A5" s="25" t="s">
        <v>11</v>
      </c>
      <c r="B5" s="25"/>
    </row>
    <row r="6" spans="1:3" x14ac:dyDescent="0.4">
      <c r="A6" t="s">
        <v>12</v>
      </c>
      <c r="B6" s="7">
        <f>SUM(WorkingData!$G$2:$G$133)/SUM(WorkingData!$I$2:$I$133)</f>
        <v>715.94487750556789</v>
      </c>
    </row>
    <row r="7" spans="1:3" x14ac:dyDescent="0.4">
      <c r="A7" t="s">
        <v>13</v>
      </c>
      <c r="B7" s="7">
        <f>(SUM(WorkingData!$G$2:$G$133)-SUMPRODUCT(WorkingData!$G$2:$G$133,WorkingData!$Q$2:$Q$133))/(SUM(WorkingData!$I$2:$I$133)-SUMPRODUCT(WorkingData!$I$2:$I$133,WorkingData!$Q$2:$Q$133))</f>
        <v>234.63661202185793</v>
      </c>
    </row>
    <row r="8" spans="1:3" x14ac:dyDescent="0.4">
      <c r="A8" t="s">
        <v>14</v>
      </c>
      <c r="B8" s="7">
        <f>SUMPRODUCT(WorkingData!$G$2:$G$133,WorkingData!$Q$2:$Q$133)/SUMPRODUCT(WorkingData!$I$2:$I$133,WorkingData!$Q$2:$Q$133)</f>
        <v>1047.0704887218046</v>
      </c>
    </row>
    <row r="9" spans="1:3" x14ac:dyDescent="0.4">
      <c r="A9" t="s">
        <v>15</v>
      </c>
      <c r="B9" s="13">
        <f>SUMPRODUCT(WorkingData!$G$2:$G$133,WorkingData!$Q$2:$Q$133)/SUMPRODUCT(WorkingData!$M$2:$M$133,WorkingData!$Q$2:$Q$133)</f>
        <v>69.996795748849593</v>
      </c>
    </row>
    <row r="10" spans="1:3" x14ac:dyDescent="0.4">
      <c r="A10" t="s">
        <v>16</v>
      </c>
      <c r="B10" s="7">
        <f>_xlfn.XLOOKUP(MAX(WorkingData!$O$2:$O$133),WorkingData!$O$2:$O$133,WorkingData!$N$2:$N$133)</f>
        <v>1329.962962962963</v>
      </c>
    </row>
    <row r="11" spans="1:3" x14ac:dyDescent="0.4">
      <c r="A11" t="s">
        <v>17</v>
      </c>
      <c r="B11" s="14">
        <f>_xlfn.XLOOKUP(MAX(WorkingData!$O$2:$O$133),WorkingData!$O$2:$O$133,WorkingData!$O$2:$O$133)</f>
        <v>26.785185156045138</v>
      </c>
    </row>
    <row r="12" spans="1:3" x14ac:dyDescent="0.4">
      <c r="A12" t="s">
        <v>18</v>
      </c>
      <c r="B12" s="14"/>
    </row>
    <row r="14" spans="1:3" x14ac:dyDescent="0.4">
      <c r="A14" s="17" t="s">
        <v>19</v>
      </c>
      <c r="B14" s="17" t="s">
        <v>20</v>
      </c>
      <c r="C14" s="17" t="s">
        <v>21</v>
      </c>
    </row>
    <row r="15" spans="1:3" x14ac:dyDescent="0.4">
      <c r="A15" t="s">
        <v>22</v>
      </c>
      <c r="B15" s="7">
        <f>'DDD Model Summary'!$B$6+(C15-5)*'DDD Model Summary'!$B$5</f>
        <v>2080.7650281510755</v>
      </c>
      <c r="C15" s="14">
        <f>'DDD Model Calculations'!D26</f>
        <v>38.799999237060547</v>
      </c>
    </row>
    <row r="16" spans="1:3" x14ac:dyDescent="0.4">
      <c r="A16" t="s">
        <v>23</v>
      </c>
      <c r="B16" s="7">
        <f>'DDD Model Summary'!$B$6+(C16-5)*'DDD Model Summary'!$B$5</f>
        <v>2098.2619435462047</v>
      </c>
      <c r="C16" s="14">
        <f>'DDD Model Calculations'!D25</f>
        <v>39.200000762939453</v>
      </c>
    </row>
    <row r="17" spans="1:3" x14ac:dyDescent="0.4">
      <c r="A17" t="s">
        <v>24</v>
      </c>
      <c r="B17" s="7">
        <f>'DDD Model Summary'!$B$6+(C17-5)*'DDD Model Summary'!$B$5</f>
        <v>2146.3782105883824</v>
      </c>
      <c r="C17" s="14">
        <f>'DDD Model Calculations'!D24</f>
        <v>40.299999237060547</v>
      </c>
    </row>
    <row r="18" spans="1:3" x14ac:dyDescent="0.4">
      <c r="A18" t="s">
        <v>25</v>
      </c>
      <c r="B18" s="7">
        <f>'DDD Model Summary'!$B$6+(C18-5)*'DDD Model Summary'!$B$5</f>
        <v>2308.2240939729963</v>
      </c>
      <c r="C18" s="14">
        <f>'DDD Model Calculations'!D21</f>
        <v>44</v>
      </c>
    </row>
    <row r="19" spans="1:3" x14ac:dyDescent="0.4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B1" sqref="B1:B1048576"/>
    </sheetView>
  </sheetViews>
  <sheetFormatPr defaultColWidth="10.58203125" defaultRowHeight="16" x14ac:dyDescent="0.4"/>
  <cols>
    <col min="1" max="1" width="40" customWidth="1"/>
    <col min="2" max="2" width="12.83203125" style="6" customWidth="1"/>
  </cols>
  <sheetData>
    <row r="1" spans="1:2" x14ac:dyDescent="0.4">
      <c r="A1" t="s">
        <v>26</v>
      </c>
    </row>
    <row r="3" spans="1:2" x14ac:dyDescent="0.4">
      <c r="A3" t="s">
        <v>0</v>
      </c>
      <c r="B3" s="6" t="str">
        <f>'DDD Model Calculations'!D19</f>
        <v>Toronto</v>
      </c>
    </row>
    <row r="4" spans="1:2" x14ac:dyDescent="0.4">
      <c r="A4" t="s">
        <v>27</v>
      </c>
      <c r="B4" s="6" t="str">
        <f>_xlfn.XLOOKUP(MAX('DDD Model Calculations'!$D$14:$G$14),'DDD Model Calculations'!$D$14:$G$14,'DDD Model Calculations'!$D2:$G2)</f>
        <v>10 years/max</v>
      </c>
    </row>
    <row r="5" spans="1:2" x14ac:dyDescent="0.4">
      <c r="A5" t="s">
        <v>28</v>
      </c>
      <c r="B5" s="23">
        <f>_xlfn.XLOOKUP(MAX('DDD Model Calculations'!$D$14:$G$14),'DDD Model Calculations'!$D$14:$G$14,'DDD Model Calculations'!$D12:$G12)</f>
        <v>43.742121624871217</v>
      </c>
    </row>
    <row r="6" spans="1:2" x14ac:dyDescent="0.4">
      <c r="A6" t="s">
        <v>29</v>
      </c>
      <c r="B6" s="23">
        <f>_xlfn.XLOOKUP(MAX('DDD Model Calculations'!$D$14:$G$14),'DDD Model Calculations'!$D$14:$G$14,'DDD Model Calculations'!$D13:$G13)</f>
        <v>602.28135060301895</v>
      </c>
    </row>
    <row r="7" spans="1:2" x14ac:dyDescent="0.4">
      <c r="A7" t="s">
        <v>30</v>
      </c>
      <c r="B7" s="23">
        <f>_xlfn.XLOOKUP(MAX('DDD Model Calculations'!$D$14:$G$14),'DDD Model Calculations'!$D$14:$G$14,'DDD Model Calculations'!$D14:$G14)</f>
        <v>0.81259163805277512</v>
      </c>
    </row>
    <row r="8" spans="1:2" x14ac:dyDescent="0.4">
      <c r="A8" t="s">
        <v>25</v>
      </c>
      <c r="B8" s="24">
        <f>B6+(B10)*B5</f>
        <v>2308.2240939729963</v>
      </c>
    </row>
    <row r="9" spans="1:2" x14ac:dyDescent="0.4">
      <c r="A9" t="s">
        <v>31</v>
      </c>
      <c r="B9" s="6">
        <f>'DDD Model Calculations'!D21</f>
        <v>44</v>
      </c>
    </row>
    <row r="10" spans="1:2" x14ac:dyDescent="0.4">
      <c r="A10" t="s">
        <v>32</v>
      </c>
      <c r="B10" s="6">
        <f>B9-5</f>
        <v>39</v>
      </c>
    </row>
  </sheetData>
  <sheetProtection algorithmName="SHA-512" hashValue="hsheTM0EvQh6g0aMHV/UNiaVH8++jE5MiEKeWWByrzxyBSg61Tpnpf9ZIoOyQJMvHtKjux/U7KSxtWyD02h93g==" saltValue="ZVpyIL0PJuiTJ9XtJ5ZlOg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62"/>
  <sheetViews>
    <sheetView workbookViewId="0">
      <selection activeCell="A32" sqref="A32"/>
    </sheetView>
  </sheetViews>
  <sheetFormatPr defaultColWidth="10.58203125" defaultRowHeight="16" x14ac:dyDescent="0.4"/>
  <cols>
    <col min="3" max="3" width="18.33203125" customWidth="1"/>
    <col min="10" max="10" width="18.83203125" customWidth="1"/>
    <col min="16" max="16" width="43.83203125" customWidth="1"/>
  </cols>
  <sheetData>
    <row r="1" spans="2:29" x14ac:dyDescent="0.4">
      <c r="C1" s="6" t="s">
        <v>33</v>
      </c>
      <c r="D1" s="25" t="s">
        <v>34</v>
      </c>
      <c r="E1" s="26"/>
      <c r="F1" s="26"/>
      <c r="G1" s="26"/>
      <c r="J1" s="6" t="s">
        <v>35</v>
      </c>
      <c r="K1" s="25" t="s">
        <v>34</v>
      </c>
      <c r="L1" s="26"/>
      <c r="M1" s="26"/>
      <c r="N1" s="26"/>
    </row>
    <row r="2" spans="2:29" x14ac:dyDescent="0.4">
      <c r="D2" t="s">
        <v>36</v>
      </c>
      <c r="E2" t="s">
        <v>37</v>
      </c>
      <c r="F2" t="s">
        <v>38</v>
      </c>
      <c r="G2" t="s">
        <v>39</v>
      </c>
      <c r="K2" t="s">
        <v>36</v>
      </c>
      <c r="L2" t="s">
        <v>37</v>
      </c>
      <c r="M2" t="s">
        <v>38</v>
      </c>
      <c r="N2" t="s">
        <v>39</v>
      </c>
      <c r="Q2" t="s">
        <v>40</v>
      </c>
    </row>
    <row r="3" spans="2:29" x14ac:dyDescent="0.4">
      <c r="C3" t="s">
        <v>41</v>
      </c>
      <c r="D3">
        <f>SUMPRODUCT(WorkingData!$Q$2:$Q$133,WorkingData!T$2:T$133,WorkingData!AF$2:AF$133)</f>
        <v>7</v>
      </c>
      <c r="E3">
        <f>SUMPRODUCT(WorkingData!$Q$2:$Q$133,WorkingData!U$2:U$133,WorkingData!AG$2:AG$133)</f>
        <v>14</v>
      </c>
      <c r="F3">
        <f>SUMPRODUCT(WorkingData!$Q$2:$Q$133,WorkingData!V$2:V$133,WorkingData!AH$2:AH$133)</f>
        <v>26</v>
      </c>
      <c r="G3">
        <f>SUMPRODUCT(WorkingData!$Q$2:$Q$133,WorkingData!W$2:W$133,WorkingData!AI$2:AI$133)</f>
        <v>32</v>
      </c>
      <c r="J3" t="s">
        <v>41</v>
      </c>
      <c r="K3">
        <f>SUMPRODUCT(WorkingData!$Q$2:$Q$133,WorkingData!T$2:T$133)</f>
        <v>7</v>
      </c>
      <c r="L3">
        <f>SUMPRODUCT(WorkingData!$Q$2:$Q$133,WorkingData!U$2:U$133)</f>
        <v>14</v>
      </c>
      <c r="M3">
        <f>SUMPRODUCT(WorkingData!$Q$2:$Q$133,WorkingData!V$2:V$133)</f>
        <v>27</v>
      </c>
      <c r="N3">
        <f>SUMPRODUCT(WorkingData!$Q$2:$Q$133,WorkingData!W$2:W$133)</f>
        <v>35</v>
      </c>
      <c r="Q3" t="s">
        <v>42</v>
      </c>
      <c r="R3" t="s">
        <v>21</v>
      </c>
      <c r="S3" t="s">
        <v>8</v>
      </c>
      <c r="AB3" t="s">
        <v>43</v>
      </c>
      <c r="AC3" t="s">
        <v>8</v>
      </c>
    </row>
    <row r="4" spans="2:29" x14ac:dyDescent="0.4">
      <c r="B4" t="s">
        <v>44</v>
      </c>
      <c r="C4" t="s">
        <v>45</v>
      </c>
      <c r="D4" s="3">
        <f>SUMPRODUCT(WorkingData!$Q$2:$Q$133,WorkingData!T$2:T$133,WorkingData!$N$2:$N$133,WorkingData!AF$2:AF$133)/D$3</f>
        <v>1130.3886724191143</v>
      </c>
      <c r="E4" s="3">
        <f>SUMPRODUCT(WorkingData!$Q$2:$Q$133,WorkingData!U$2:U$133,WorkingData!$N$2:$N$133,WorkingData!AG$2:AG$133)/E$3</f>
        <v>1094.6668001951514</v>
      </c>
      <c r="F4" s="3">
        <f>SUMPRODUCT(WorkingData!$Q$2:$Q$133,WorkingData!V$2:V$133,WorkingData!$N$2:$N$133,WorkingData!AH$2:AH$133)/F$3</f>
        <v>1068.225761888749</v>
      </c>
      <c r="G4" s="3">
        <f>SUMPRODUCT(WorkingData!$Q$2:$Q$133,WorkingData!W$2:W$133,WorkingData!$N$2:$N$133,WorkingData!AI$2:AI$133)/G$3</f>
        <v>1061.5507078730434</v>
      </c>
      <c r="I4" t="s">
        <v>44</v>
      </c>
      <c r="J4" t="s">
        <v>45</v>
      </c>
      <c r="K4" s="3">
        <f>SUMPRODUCT(WorkingData!$Q$2:$Q$133,WorkingData!T$2:T$133,WorkingData!$N$2:$N$133)/K$3</f>
        <v>1130.3886724191143</v>
      </c>
      <c r="L4" s="3">
        <f>SUMPRODUCT(WorkingData!$Q$2:$Q$133,WorkingData!U$2:U$133,WorkingData!$N$2:$N$133)/L$3</f>
        <v>1094.6668001951514</v>
      </c>
      <c r="M4" s="3">
        <f>SUMPRODUCT(WorkingData!$Q$2:$Q$133,WorkingData!V$2:V$133,WorkingData!$N$2:$N$133)/M$3</f>
        <v>1079.6821554149722</v>
      </c>
      <c r="N4" s="3">
        <f>SUMPRODUCT(WorkingData!$Q$2:$Q$133,WorkingData!W$2:W$133,WorkingData!$N$2:$N$133)/N$3</f>
        <v>1054.3678558881386</v>
      </c>
      <c r="P4" s="3" t="s">
        <v>46</v>
      </c>
      <c r="Q4" cm="1">
        <f t="array" aca="1" ref="Q4:Q62" ca="1">OFFSET(WorkingData!$P$2,0,0,COUNTIF(WorkingData!$P$2:$P$132,"&gt;=-5"))</f>
        <v>9.5935483668600359</v>
      </c>
      <c r="R4" cm="1">
        <f t="array" aca="1" ref="R4:R62" ca="1">OFFSET(WorkingData!$O$2,0,0,COUNTIF(WorkingData!$O$2:$O$132,"&gt;=0"))</f>
        <v>14.593548366860036</v>
      </c>
      <c r="S4" cm="1">
        <f t="array" aca="1" ref="S4:S62" ca="1">OFFSET(WorkingData!$N$2,0,0,COUNTIF(WorkingData!$N$2:$N$132,"&gt;=0"))</f>
        <v>1377.5483870967741</v>
      </c>
      <c r="U4" cm="1">
        <f t="array" ref="U4:Z35">_xlfn._xlws.FILTER(WorkingData!N2:S132,(WorkingData!Q2:Q132=1)*(WorkingData!R2:R132&lt;=D23)*(WorkingData!S2:S132=1))</f>
        <v>1506.5</v>
      </c>
      <c r="V4">
        <v>22.550000011061247</v>
      </c>
      <c r="W4">
        <v>17.550000011061247</v>
      </c>
      <c r="X4">
        <v>1</v>
      </c>
      <c r="Y4">
        <v>1</v>
      </c>
      <c r="Z4">
        <v>1</v>
      </c>
      <c r="AB4" cm="1">
        <f t="array" aca="1" ref="AB4:AB35" ca="1">OFFSET(W4,0,0,COUNTIF(W4:W134,"&gt;=0"))</f>
        <v>17.550000011061247</v>
      </c>
      <c r="AC4" cm="1">
        <f t="array" aca="1" ref="AC4:AC35" ca="1">OFFSET(U4,0,0,COUNTIF(U4:U134,"&gt;=0"))</f>
        <v>1506.5</v>
      </c>
    </row>
    <row r="5" spans="2:29" x14ac:dyDescent="0.4">
      <c r="B5" t="s">
        <v>47</v>
      </c>
      <c r="C5" t="s">
        <v>48</v>
      </c>
      <c r="D5" s="3">
        <f>SUMPRODUCT(WorkingData!$Q$2:$Q$133,WorkingData!T$2:T$133,WorkingData!$P$2:$P$133,WorkingData!AF$2:AF$133)/D$3</f>
        <v>10.594912300621811</v>
      </c>
      <c r="E5" s="3">
        <f>SUMPRODUCT(WorkingData!$Q$2:$Q$133,WorkingData!U$2:U$133,WorkingData!$P$2:$P$133,WorkingData!AG$2:AG$133)/E$3</f>
        <v>9.7587462885615643</v>
      </c>
      <c r="F5" s="3">
        <f>SUMPRODUCT(WorkingData!$Q$2:$Q$133,WorkingData!V$2:V$133,WorkingData!$P$2:$P$133,WorkingData!AH$2:AH$133)/F$3</f>
        <v>10.368472078398467</v>
      </c>
      <c r="G5" s="3">
        <f>SUMPRODUCT(WorkingData!$Q$2:$Q$133,WorkingData!W$2:W$133,WorkingData!$P$2:$P$133,WorkingData!AI$2:AI$133)/G$3</f>
        <v>10.499476024704062</v>
      </c>
      <c r="I5" t="s">
        <v>47</v>
      </c>
      <c r="J5" t="s">
        <v>48</v>
      </c>
      <c r="K5" s="3">
        <f>SUMPRODUCT(WorkingData!$Q$2:$Q$133,WorkingData!T$2:T$133,WorkingData!$P$2:$P$133)/K$3</f>
        <v>10.594912300621811</v>
      </c>
      <c r="L5" s="3">
        <f>SUMPRODUCT(WorkingData!$Q$2:$Q$133,WorkingData!U$2:U$133,WorkingData!$P$2:$P$133)/L$3</f>
        <v>9.7587462885615643</v>
      </c>
      <c r="M5" s="3">
        <f>SUMPRODUCT(WorkingData!$Q$2:$Q$133,WorkingData!V$2:V$133,WorkingData!$P$2:$P$133)/M$3</f>
        <v>10.339771200193338</v>
      </c>
      <c r="N5" s="3">
        <f>SUMPRODUCT(WorkingData!$Q$2:$Q$133,WorkingData!W$2:W$133,WorkingData!$P$2:$P$133)/N$3</f>
        <v>10.087694074006601</v>
      </c>
      <c r="Q5">
        <f ca="1"/>
        <v>17.550000011061247</v>
      </c>
      <c r="R5">
        <f ca="1"/>
        <v>22.550000011061247</v>
      </c>
      <c r="S5">
        <f ca="1"/>
        <v>1506.5</v>
      </c>
      <c r="U5">
        <v>1298.6969696969697</v>
      </c>
      <c r="V5">
        <v>23.948484822430395</v>
      </c>
      <c r="W5">
        <v>18.948484822430395</v>
      </c>
      <c r="X5">
        <v>1</v>
      </c>
      <c r="Y5">
        <v>1</v>
      </c>
      <c r="Z5">
        <v>1</v>
      </c>
      <c r="AB5">
        <f ca="1"/>
        <v>18.948484822430395</v>
      </c>
      <c r="AC5">
        <f ca="1"/>
        <v>1298.6969696969697</v>
      </c>
    </row>
    <row r="6" spans="2:29" x14ac:dyDescent="0.4">
      <c r="C6" t="s">
        <v>49</v>
      </c>
      <c r="D6" s="3">
        <f>SUMPRODUCT(WorkingData!$Q$2:$Q$133,WorkingData!T$2:T$133,WorkingData!$N$2:$N$133,WorkingData!$P$2:$P$133,WorkingData!AF$2:AF$133)</f>
        <v>93610.016399787608</v>
      </c>
      <c r="E6" s="3">
        <f>SUMPRODUCT(WorkingData!$Q$2:$Q$133,WorkingData!U$2:U$133,WorkingData!$N$2:$N$133,WorkingData!$P$2:$P$133,WorkingData!AG$2:AG$133)</f>
        <v>165338.68127197371</v>
      </c>
      <c r="F6" s="3">
        <f>SUMPRODUCT(WorkingData!$Q$2:$Q$133,WorkingData!V$2:V$133,WorkingData!$N$2:$N$133,WorkingData!$P$2:$P$133,WorkingData!AH$2:AH$133)</f>
        <v>321967.35684868891</v>
      </c>
      <c r="G6" s="3">
        <f>SUMPRODUCT(WorkingData!$Q$2:$Q$133,WorkingData!W$2:W$133,WorkingData!$N$2:$N$133,WorkingData!$P$2:$P$133,WorkingData!AI$2:AI$133)</f>
        <v>399896.00239039608</v>
      </c>
      <c r="J6" t="s">
        <v>49</v>
      </c>
      <c r="K6" s="3">
        <f>SUMPRODUCT(WorkingData!$Q$2:$Q$133,WorkingData!T$2:T$133,WorkingData!$N$2:$N$133,WorkingData!$P$2:$P$133)</f>
        <v>93610.016399787608</v>
      </c>
      <c r="L6" s="3">
        <f>SUMPRODUCT(WorkingData!$Q$2:$Q$133,WorkingData!U$2:U$133,WorkingData!$N$2:$N$133,WorkingData!$P$2:$P$133)</f>
        <v>165338.68127197371</v>
      </c>
      <c r="M6" s="3">
        <f>SUMPRODUCT(WorkingData!$Q$2:$Q$133,WorkingData!V$2:V$133,WorkingData!$N$2:$N$133,WorkingData!$P$2:$P$133)</f>
        <v>335182.93392799183</v>
      </c>
      <c r="N6" s="3">
        <f>SUMPRODUCT(WorkingData!$Q$2:$Q$133,WorkingData!W$2:W$133,WorkingData!$N$2:$N$133,WorkingData!$P$2:$P$133)</f>
        <v>418623.55787113687</v>
      </c>
      <c r="Q6">
        <f ca="1"/>
        <v>18.948484822430395</v>
      </c>
      <c r="R6">
        <f ca="1"/>
        <v>23.948484822430395</v>
      </c>
      <c r="S6">
        <f ca="1"/>
        <v>1298.6969696969697</v>
      </c>
      <c r="U6">
        <v>1183.9333333333334</v>
      </c>
      <c r="V6">
        <v>18.6399999777476</v>
      </c>
      <c r="W6">
        <v>13.6399999777476</v>
      </c>
      <c r="X6">
        <v>1</v>
      </c>
      <c r="Y6">
        <v>1</v>
      </c>
      <c r="Z6">
        <v>1</v>
      </c>
      <c r="AB6">
        <f ca="1"/>
        <v>13.6399999777476</v>
      </c>
      <c r="AC6">
        <f ca="1"/>
        <v>1183.9333333333334</v>
      </c>
    </row>
    <row r="7" spans="2:29" x14ac:dyDescent="0.4">
      <c r="C7" t="s">
        <v>50</v>
      </c>
      <c r="D7" s="3">
        <f>SUMPRODUCT(WorkingData!$Q$2:$Q$133,WorkingData!T$2:T$133,WorkingData!$P$2:$P$133,WorkingData!$P$2:$P$133,WorkingData!AF$2:AF$133)</f>
        <v>1046.4711149687823</v>
      </c>
      <c r="E7" s="3">
        <f>SUMPRODUCT(WorkingData!$Q$2:$Q$133,WorkingData!U$2:U$133,WorkingData!$P$2:$P$133,WorkingData!$P$2:$P$133,WorkingData!AG$2:AG$133)</f>
        <v>1726.5425599346845</v>
      </c>
      <c r="F7" s="3">
        <f>SUMPRODUCT(WorkingData!$Q$2:$Q$133,WorkingData!V$2:V$133,WorkingData!$P$2:$P$133,WorkingData!$P$2:$P$133,WorkingData!AH$2:AH$133)</f>
        <v>3606.2956281457773</v>
      </c>
      <c r="G7" s="3">
        <f>SUMPRODUCT(WorkingData!$Q$2:$Q$133,WorkingData!W$2:W$133,WorkingData!$P$2:$P$133,WorkingData!$P$2:$P$133,WorkingData!AI$2:AI$133)</f>
        <v>4516.0033356276126</v>
      </c>
      <c r="J7" t="s">
        <v>50</v>
      </c>
      <c r="K7" s="3">
        <f>SUMPRODUCT(WorkingData!$Q$2:$Q$133,WorkingData!T$2:T$133,WorkingData!$P$2:$P$133,WorkingData!$P$2:$P$133)</f>
        <v>1046.4711149687823</v>
      </c>
      <c r="L7" s="3">
        <f>SUMPRODUCT(WorkingData!$Q$2:$Q$133,WorkingData!U$2:U$133,WorkingData!$P$2:$P$133,WorkingData!$P$2:$P$133)</f>
        <v>1726.5425599346845</v>
      </c>
      <c r="M7" s="3">
        <f>SUMPRODUCT(WorkingData!$Q$2:$Q$133,WorkingData!V$2:V$133,WorkingData!$P$2:$P$133,WorkingData!$P$2:$P$133)</f>
        <v>3698.3317984130599</v>
      </c>
      <c r="N7" s="3">
        <f>SUMPRODUCT(WorkingData!$Q$2:$Q$133,WorkingData!W$2:W$133,WorkingData!$P$2:$P$133,WorkingData!$P$2:$P$133)</f>
        <v>4636.728801002635</v>
      </c>
      <c r="Q7">
        <f ca="1"/>
        <v>13.6399999777476</v>
      </c>
      <c r="R7">
        <f ca="1"/>
        <v>18.6399999777476</v>
      </c>
      <c r="S7">
        <f ca="1"/>
        <v>1183.9333333333334</v>
      </c>
      <c r="U7">
        <v>938.46428571428567</v>
      </c>
      <c r="V7">
        <v>14.360714298539929</v>
      </c>
      <c r="W7">
        <v>9.3607142985399285</v>
      </c>
      <c r="X7">
        <v>1</v>
      </c>
      <c r="Y7">
        <v>1</v>
      </c>
      <c r="Z7">
        <v>1</v>
      </c>
      <c r="AB7">
        <f ca="1"/>
        <v>9.3607142985399285</v>
      </c>
      <c r="AC7">
        <f ca="1"/>
        <v>938.46428571428567</v>
      </c>
    </row>
    <row r="8" spans="2:29" x14ac:dyDescent="0.4">
      <c r="C8" t="s">
        <v>51</v>
      </c>
      <c r="D8" s="3">
        <f>SUMPRODUCT(WorkingData!$Q$2:$Q$133,WorkingData!T$2:T$133,WorkingData!$N$2:$N$133,WorkingData!$N$2:$N$133,WorkingData!AF$2:AF$133)</f>
        <v>9561302.590215316</v>
      </c>
      <c r="E8" s="3">
        <f>SUMPRODUCT(WorkingData!$Q$2:$Q$133,WorkingData!U$2:U$133,WorkingData!$N$2:$N$133,WorkingData!$N$2:$N$133,WorkingData!AG$2:AG$133)</f>
        <v>17780273.23011829</v>
      </c>
      <c r="F8" s="3">
        <f>SUMPRODUCT(WorkingData!$Q$2:$Q$133,WorkingData!V$2:V$133,WorkingData!$N$2:$N$133,WorkingData!$N$2:$N$133,WorkingData!AH$2:AH$133)</f>
        <v>31569810.735335272</v>
      </c>
      <c r="G8" s="3">
        <f>SUMPRODUCT(WorkingData!$Q$2:$Q$133,WorkingData!W$2:W$133,WorkingData!$N$2:$N$133,WorkingData!$N$2:$N$133,WorkingData!AI$2:AI$133)</f>
        <v>38387713.339594647</v>
      </c>
      <c r="J8" t="s">
        <v>51</v>
      </c>
      <c r="K8" s="3">
        <f>SUMPRODUCT(WorkingData!$Q$2:$Q$133,WorkingData!T$2:T$133,WorkingData!$N$2:$N$133,WorkingData!$N$2:$N$133)</f>
        <v>9561302.590215316</v>
      </c>
      <c r="L8" s="3">
        <f>SUMPRODUCT(WorkingData!$Q$2:$Q$133,WorkingData!U$2:U$133,WorkingData!$N$2:$N$133,WorkingData!$N$2:$N$133)</f>
        <v>17780273.23011829</v>
      </c>
      <c r="M8" s="3">
        <f>SUMPRODUCT(WorkingData!$Q$2:$Q$133,WorkingData!V$2:V$133,WorkingData!$N$2:$N$133,WorkingData!$N$2:$N$133)</f>
        <v>33467450.294128191</v>
      </c>
      <c r="N8" s="3">
        <f>SUMPRODUCT(WorkingData!$Q$2:$Q$133,WorkingData!W$2:W$133,WorkingData!$N$2:$N$133,WorkingData!$N$2:$N$133)</f>
        <v>41656494.246421345</v>
      </c>
      <c r="Q8">
        <f ca="1"/>
        <v>9.3607142985399285</v>
      </c>
      <c r="R8">
        <f ca="1"/>
        <v>14.360714298539929</v>
      </c>
      <c r="S8">
        <f ca="1"/>
        <v>938.46428571428567</v>
      </c>
      <c r="U8">
        <v>545.97058823529414</v>
      </c>
      <c r="V8">
        <v>6.8823529832503372</v>
      </c>
      <c r="W8">
        <v>1.8823529832503372</v>
      </c>
      <c r="X8">
        <v>1</v>
      </c>
      <c r="Y8">
        <v>1</v>
      </c>
      <c r="Z8">
        <v>1</v>
      </c>
      <c r="AB8">
        <f ca="1"/>
        <v>1.8823529832503372</v>
      </c>
      <c r="AC8">
        <f ca="1"/>
        <v>545.97058823529414</v>
      </c>
    </row>
    <row r="9" spans="2:29" x14ac:dyDescent="0.4">
      <c r="C9" t="s">
        <v>52</v>
      </c>
      <c r="D9" s="3">
        <f t="shared" ref="D9:G10" si="0">D4*D$3</f>
        <v>7912.7207069338001</v>
      </c>
      <c r="E9" s="3">
        <f t="shared" si="0"/>
        <v>15325.33520273212</v>
      </c>
      <c r="F9" s="3">
        <f t="shared" si="0"/>
        <v>27773.869809107477</v>
      </c>
      <c r="G9" s="3">
        <f t="shared" si="0"/>
        <v>33969.622651937389</v>
      </c>
      <c r="J9" t="s">
        <v>52</v>
      </c>
      <c r="K9" s="3">
        <f t="shared" ref="K9:N10" si="1">K4*K$3</f>
        <v>7912.7207069338001</v>
      </c>
      <c r="L9" s="3">
        <f t="shared" si="1"/>
        <v>15325.33520273212</v>
      </c>
      <c r="M9" s="3">
        <f t="shared" si="1"/>
        <v>29151.418196204249</v>
      </c>
      <c r="N9" s="3">
        <f t="shared" si="1"/>
        <v>36902.874956084852</v>
      </c>
      <c r="Q9">
        <f ca="1"/>
        <v>1.8823529832503372</v>
      </c>
      <c r="R9">
        <f ca="1"/>
        <v>6.8823529832503372</v>
      </c>
      <c r="S9">
        <f ca="1"/>
        <v>545.97058823529414</v>
      </c>
      <c r="U9">
        <v>1171.90625</v>
      </c>
      <c r="V9">
        <v>14.525000002002344</v>
      </c>
      <c r="W9">
        <v>9.5250000020023435</v>
      </c>
      <c r="X9">
        <v>1</v>
      </c>
      <c r="Y9">
        <v>2</v>
      </c>
      <c r="Z9">
        <v>1</v>
      </c>
      <c r="AB9">
        <f ca="1"/>
        <v>9.5250000020023435</v>
      </c>
      <c r="AC9">
        <f ca="1"/>
        <v>1171.90625</v>
      </c>
    </row>
    <row r="10" spans="2:29" x14ac:dyDescent="0.4">
      <c r="C10" t="s">
        <v>53</v>
      </c>
      <c r="D10" s="3">
        <f t="shared" si="0"/>
        <v>74.164386104352673</v>
      </c>
      <c r="E10" s="3">
        <f t="shared" si="0"/>
        <v>136.62244803986189</v>
      </c>
      <c r="F10" s="3">
        <f t="shared" si="0"/>
        <v>269.58027403836013</v>
      </c>
      <c r="G10" s="3">
        <f t="shared" si="0"/>
        <v>335.98323279053</v>
      </c>
      <c r="J10" t="s">
        <v>53</v>
      </c>
      <c r="K10" s="3">
        <f t="shared" si="1"/>
        <v>74.164386104352673</v>
      </c>
      <c r="L10" s="3">
        <f t="shared" si="1"/>
        <v>136.62244803986189</v>
      </c>
      <c r="M10" s="3">
        <f t="shared" si="1"/>
        <v>279.17382240522011</v>
      </c>
      <c r="N10" s="3">
        <f t="shared" si="1"/>
        <v>353.06929259023104</v>
      </c>
      <c r="Q10">
        <f ca="1"/>
        <v>-4.2290322396063038</v>
      </c>
      <c r="R10">
        <f ca="1"/>
        <v>0.77096776039369641</v>
      </c>
      <c r="S10">
        <f ca="1"/>
        <v>186.96774193548387</v>
      </c>
      <c r="U10">
        <v>1425.8214285714287</v>
      </c>
      <c r="V10">
        <v>17.003571424633265</v>
      </c>
      <c r="W10">
        <v>12.003571424633265</v>
      </c>
      <c r="X10">
        <v>1</v>
      </c>
      <c r="Y10">
        <v>2</v>
      </c>
      <c r="Z10">
        <v>1</v>
      </c>
      <c r="AB10">
        <f ca="1"/>
        <v>12.003571424633265</v>
      </c>
      <c r="AC10">
        <f ca="1"/>
        <v>1425.8214285714287</v>
      </c>
    </row>
    <row r="11" spans="2:29" x14ac:dyDescent="0.4">
      <c r="J11" t="s">
        <v>54</v>
      </c>
      <c r="K11" s="8">
        <f>IF(K3&gt;=3,SQRT(SUMPRODUCT(WorkingData!X$2:X$133,WorkingData!X$2:X$133,WorkingData!$Q$2:$Q$133,WorkingData!T$2:T$133)/('DDD Model Calculations'!K3-2)),"Insufficient Data")</f>
        <v>223.74668133482552</v>
      </c>
      <c r="L11" s="8">
        <f>IF(L3&gt;=3,SQRT(SUMPRODUCT(WorkingData!Y$2:Y$133,WorkingData!Y$2:Y$133,WorkingData!$Q$2:$Q$133,WorkingData!U$2:U$133)/('DDD Model Calculations'!L3-2)),"Insufficient Data")</f>
        <v>175.77613345501464</v>
      </c>
      <c r="M11" s="8">
        <f>IF(M3&gt;=3,SQRT(SUMPRODUCT(WorkingData!Z$2:Z$133,WorkingData!Z$2:Z$133,WorkingData!$Q$2:$Q$133,WorkingData!V$2:V$133)/('DDD Model Calculations'!M3-2)),"Insufficient Data")</f>
        <v>153.46483391600808</v>
      </c>
      <c r="N11" s="8">
        <f>IF(N3&gt;=3,SQRT(SUMPRODUCT(WorkingData!AA$2:AA$133,WorkingData!AA$2:AA$133,WorkingData!$Q$2:$Q$133,WorkingData!W$2:W$133)/('DDD Model Calculations'!N3-2)),"Insufficient Data")</f>
        <v>150.57880741292706</v>
      </c>
      <c r="P11" s="8" t="s">
        <v>55</v>
      </c>
      <c r="Q11">
        <f ca="1"/>
        <v>-4.6387096528084051</v>
      </c>
      <c r="R11">
        <f ca="1"/>
        <v>0.36129034719159525</v>
      </c>
      <c r="S11">
        <f ca="1"/>
        <v>154.06451612903226</v>
      </c>
      <c r="U11">
        <v>1131.96875</v>
      </c>
      <c r="V11">
        <v>19.834375008707866</v>
      </c>
      <c r="W11">
        <v>14.834375008707866</v>
      </c>
      <c r="X11">
        <v>1</v>
      </c>
      <c r="Y11">
        <v>2</v>
      </c>
      <c r="Z11">
        <v>1</v>
      </c>
      <c r="AB11">
        <f ca="1"/>
        <v>14.834375008707866</v>
      </c>
      <c r="AC11">
        <f ca="1"/>
        <v>1131.96875</v>
      </c>
    </row>
    <row r="12" spans="2:29" x14ac:dyDescent="0.4">
      <c r="B12" s="6" t="s">
        <v>28</v>
      </c>
      <c r="C12" t="s">
        <v>56</v>
      </c>
      <c r="D12" s="9">
        <f>IF(D3&gt;=3,(D$3*D6-D9*D10)/(D$3*D7-D10^2),"Insufficient Data")</f>
        <v>37.496016151008817</v>
      </c>
      <c r="E12" s="9">
        <f>IF(E3&gt;=3,(E$3*E6-E9*E10)/(E$3*E7-E10^2),"Insufficient Data")</f>
        <v>40.130882111996726</v>
      </c>
      <c r="F12" s="9">
        <f>IF(F3&gt;=3,(F$3*F6-F9*F10)/(F$3*F7-F10^2),"Insufficient Data")</f>
        <v>41.908821574125476</v>
      </c>
      <c r="G12" s="9">
        <f>IF(G3&gt;=3,(G$3*G6-G9*G10)/(G$3*G7-G10^2),"Insufficient Data")</f>
        <v>43.742121624871217</v>
      </c>
      <c r="I12" s="6" t="s">
        <v>28</v>
      </c>
      <c r="J12" t="s">
        <v>56</v>
      </c>
      <c r="K12" s="9">
        <f>IF(K3&gt;=3,(K$3*K6-K9*K10)/(K$3*K7-K10^2),"Insufficient Data")</f>
        <v>37.496016151008817</v>
      </c>
      <c r="L12" s="9">
        <f>IF(L3&gt;=3,(L$3*L6-L9*L10)/(L$3*L7-L10^2),"Insufficient Data")</f>
        <v>40.130882111996726</v>
      </c>
      <c r="M12" s="9">
        <f>IF(M3&gt;=3,(M$3*M6-M9*M10)/(M$3*M7-M10^2),"Insufficient Data")</f>
        <v>41.594609435716272</v>
      </c>
      <c r="N12" s="9">
        <f>IF(N3&gt;=3,(N$3*N6-N9*N10)/(N$3*N7-N10^2),"Insufficient Data")</f>
        <v>43.121360855094053</v>
      </c>
      <c r="P12" s="9" t="s">
        <v>57</v>
      </c>
      <c r="Q12">
        <f ca="1"/>
        <v>-5</v>
      </c>
      <c r="R12">
        <f ca="1"/>
        <v>0</v>
      </c>
      <c r="S12">
        <f ca="1"/>
        <v>168.35714285714286</v>
      </c>
      <c r="U12">
        <v>1067.1428571428571</v>
      </c>
      <c r="V12">
        <v>15.596428544127516</v>
      </c>
      <c r="W12">
        <v>10.596428544127516</v>
      </c>
      <c r="X12">
        <v>1</v>
      </c>
      <c r="Y12">
        <v>2</v>
      </c>
      <c r="Z12">
        <v>1</v>
      </c>
      <c r="AB12">
        <f ca="1"/>
        <v>10.596428544127516</v>
      </c>
      <c r="AC12">
        <f ca="1"/>
        <v>1067.1428571428571</v>
      </c>
    </row>
    <row r="13" spans="2:29" x14ac:dyDescent="0.4">
      <c r="B13" s="6" t="s">
        <v>58</v>
      </c>
      <c r="C13" t="s">
        <v>59</v>
      </c>
      <c r="D13" s="9">
        <f>IF(D3&gt;=3,D4-D5*D12,"Insufficient Data")</f>
        <v>733.12166967647681</v>
      </c>
      <c r="E13" s="9">
        <f>IF(E3&gt;=3,E4-E5*E12,"Insufficient Data")</f>
        <v>703.03970332800168</v>
      </c>
      <c r="F13" s="9">
        <f>IF(F3&gt;=3,F4-F5*F12,"Insufficient Data")</f>
        <v>633.69531555884578</v>
      </c>
      <c r="G13" s="9">
        <f>IF(G3&gt;=3,G4-G5*G12,"Insufficient Data")</f>
        <v>602.28135060301895</v>
      </c>
      <c r="I13" s="6" t="s">
        <v>58</v>
      </c>
      <c r="J13" t="s">
        <v>59</v>
      </c>
      <c r="K13" s="9">
        <f>IF(K3&gt;=3,K4-K5*K12,"Insufficient Data")</f>
        <v>733.12166967647681</v>
      </c>
      <c r="L13" s="9">
        <f>IF(L3&gt;=3,L4-L5*L12,"Insufficient Data")</f>
        <v>703.03970332800168</v>
      </c>
      <c r="M13" s="9">
        <f>IF(M3&gt;=3,M4-M5*M12,"Insufficient Data")</f>
        <v>649.60341068826301</v>
      </c>
      <c r="N13" s="9">
        <f>IF(N3&gt;=3,N4-N5*N12,"Insufficient Data")</f>
        <v>619.37275952710615</v>
      </c>
      <c r="Q13">
        <f ca="1"/>
        <v>-4.3870968357209232</v>
      </c>
      <c r="R13">
        <f ca="1"/>
        <v>0.61290316427907632</v>
      </c>
      <c r="S13">
        <f ca="1"/>
        <v>194.45161290322579</v>
      </c>
      <c r="U13">
        <v>1110.8823529411766</v>
      </c>
      <c r="V13">
        <v>14.735294128165526</v>
      </c>
      <c r="W13">
        <v>9.7352941281655259</v>
      </c>
      <c r="X13">
        <v>1</v>
      </c>
      <c r="Y13">
        <v>2</v>
      </c>
      <c r="Z13">
        <v>1</v>
      </c>
      <c r="AB13">
        <f ca="1"/>
        <v>9.7352941281655259</v>
      </c>
      <c r="AC13">
        <f ca="1"/>
        <v>1110.8823529411766</v>
      </c>
    </row>
    <row r="14" spans="2:29" x14ac:dyDescent="0.4">
      <c r="C14" t="s">
        <v>60</v>
      </c>
      <c r="D14" s="10">
        <f>IF(D3&gt;=3,(((D6/D3)-D4*D5)/SQRT((D7/D3-D5^2)*(D8/D3-D4^2)))^2,"Insufficient Data")</f>
        <v>0.59420965036525986</v>
      </c>
      <c r="E14" s="10">
        <f>IF(E3&gt;=3,(((E6/E3)-E4*E5)/SQRT((E7/E3-E5^2)*(E8/E3-E4^2)))^2,"Insufficient Data")</f>
        <v>0.63076076842505013</v>
      </c>
      <c r="F14" s="10">
        <f>IF(F3&gt;=3,(((F6/F3)-F4*F5)/SQRT((F7/F3-F5^2)*(F8/F3-F4^2)))^2,"Insufficient Data")</f>
        <v>0.74941865891109305</v>
      </c>
      <c r="G14" s="10">
        <f>IF(G3&gt;=3,(((G6/G3)-G4*G5)/SQRT((G7/G3-G5^2)*(G8/G3-G4^2)))^2,"Insufficient Data")</f>
        <v>0.81259163805277512</v>
      </c>
      <c r="J14" t="s">
        <v>60</v>
      </c>
      <c r="K14">
        <f>IF(K3&gt;=3,(((K6/K3)-K4*K5)/SQRT((K7/K3-K5^2)*(K8/K3-K4^2)))^2,"Insufficient Data")</f>
        <v>0.59420965036525986</v>
      </c>
      <c r="L14">
        <f>IF(L3&gt;=3,(((L6/L3)-L4*L5)/SQRT((L7/L3-L5^2)*(L8/L3-L4^2)))^2,"Insufficient Data")</f>
        <v>0.63076076842505013</v>
      </c>
      <c r="M14">
        <f>IF(M3&gt;=3,(((M6/M3)-M4*M5)/SQRT((M7/M3-M5^2)*(M8/M3-M4^2)))^2,"Insufficient Data")</f>
        <v>0.70460012540951167</v>
      </c>
      <c r="N14">
        <f>IF(N3&gt;=3,(((N6/N3)-N4*N5)/SQRT((N7/N3-N5^2)*(N8/N3-N4^2)))^2,"Insufficient Data")</f>
        <v>0.72764378958075637</v>
      </c>
      <c r="P14" s="10" t="s">
        <v>61</v>
      </c>
      <c r="Q14">
        <f ca="1"/>
        <v>-3.2030302394520156</v>
      </c>
      <c r="R14">
        <f ca="1"/>
        <v>1.7969697605479846</v>
      </c>
      <c r="S14">
        <f ca="1"/>
        <v>401.06060606060606</v>
      </c>
      <c r="U14">
        <v>638.25</v>
      </c>
      <c r="V14">
        <v>7.0062499605119228</v>
      </c>
      <c r="W14">
        <v>2.0062499605119228</v>
      </c>
      <c r="X14">
        <v>1</v>
      </c>
      <c r="Y14">
        <v>2</v>
      </c>
      <c r="Z14">
        <v>1</v>
      </c>
      <c r="AB14">
        <f ca="1"/>
        <v>2.0062499605119228</v>
      </c>
      <c r="AC14">
        <f ca="1"/>
        <v>638.25</v>
      </c>
    </row>
    <row r="15" spans="2:29" x14ac:dyDescent="0.4">
      <c r="C15" t="s">
        <v>62</v>
      </c>
      <c r="D15">
        <f>IF(D3&gt;=3,D13+D12*($D$21-5),"Insufficient Data")</f>
        <v>2195.4662995658209</v>
      </c>
      <c r="E15">
        <f>IF(E3&gt;=3,E13+E12*($D$21-5),"Insufficient Data")</f>
        <v>2268.1441056958738</v>
      </c>
      <c r="F15">
        <f>IF(F3&gt;=3,F13+F12*($D$21-5),"Insufficient Data")</f>
        <v>2268.1393569497395</v>
      </c>
      <c r="G15">
        <f>IF(G3&gt;=3,G13+G12*($D$21-5),"Insufficient Data")</f>
        <v>2308.2240939729963</v>
      </c>
      <c r="J15" t="s">
        <v>62</v>
      </c>
      <c r="K15">
        <f>IF(K3&gt;=3,K13+K12*($D$21-5),"Insufficient Data")</f>
        <v>2195.4662995658209</v>
      </c>
      <c r="L15">
        <f>IF(L3&gt;=3,L13+L12*($D$21-5),"Insufficient Data")</f>
        <v>2268.1441056958738</v>
      </c>
      <c r="M15">
        <f>IF(M3&gt;=3,M13+M12*($D$21-5),"Insufficient Data")</f>
        <v>2271.7931786811978</v>
      </c>
      <c r="N15">
        <f>IF(N3&gt;=3,N13+N12*($D$21-5),"Insufficient Data")</f>
        <v>2301.1058328757745</v>
      </c>
      <c r="Q15">
        <f ca="1"/>
        <v>3.1892856444631299</v>
      </c>
      <c r="R15">
        <f ca="1"/>
        <v>8.1892856444631299</v>
      </c>
      <c r="S15">
        <f ca="1"/>
        <v>1061.6071428571429</v>
      </c>
      <c r="U15">
        <v>866.64285714285711</v>
      </c>
      <c r="V15">
        <v>8.7571428673607965</v>
      </c>
      <c r="W15">
        <v>3.7571428673607965</v>
      </c>
      <c r="X15">
        <v>1</v>
      </c>
      <c r="Y15">
        <v>2</v>
      </c>
      <c r="Z15">
        <v>1</v>
      </c>
      <c r="AB15">
        <f ca="1"/>
        <v>3.7571428673607965</v>
      </c>
      <c r="AC15">
        <f ca="1"/>
        <v>866.64285714285711</v>
      </c>
    </row>
    <row r="16" spans="2:29" x14ac:dyDescent="0.4">
      <c r="C16" t="s">
        <v>63</v>
      </c>
      <c r="D16">
        <v>1</v>
      </c>
      <c r="E16">
        <v>2</v>
      </c>
      <c r="F16">
        <v>4</v>
      </c>
      <c r="G16">
        <v>10</v>
      </c>
      <c r="Q16">
        <f ca="1"/>
        <v>9.5250000020023435</v>
      </c>
      <c r="R16">
        <f ca="1"/>
        <v>14.525000002002344</v>
      </c>
      <c r="S16">
        <f ca="1"/>
        <v>1171.90625</v>
      </c>
      <c r="U16">
        <v>1254.03125</v>
      </c>
      <c r="V16">
        <v>16.784375011920929</v>
      </c>
      <c r="W16">
        <v>11.784375011920929</v>
      </c>
      <c r="X16">
        <v>1</v>
      </c>
      <c r="Y16">
        <v>3</v>
      </c>
      <c r="Z16">
        <v>1</v>
      </c>
      <c r="AB16">
        <f ca="1"/>
        <v>11.784375011920929</v>
      </c>
      <c r="AC16">
        <f ca="1"/>
        <v>1254.03125</v>
      </c>
    </row>
    <row r="17" spans="3:29" x14ac:dyDescent="0.4">
      <c r="J17" t="s">
        <v>64</v>
      </c>
      <c r="Q17">
        <f ca="1"/>
        <v>12.003571424633265</v>
      </c>
      <c r="R17">
        <f ca="1"/>
        <v>17.003571424633265</v>
      </c>
      <c r="S17">
        <f ca="1"/>
        <v>1425.8214285714287</v>
      </c>
      <c r="U17">
        <v>1315.4827586206898</v>
      </c>
      <c r="V17">
        <v>18.972413780360387</v>
      </c>
      <c r="W17">
        <v>13.972413780360387</v>
      </c>
      <c r="X17">
        <v>1</v>
      </c>
      <c r="Y17">
        <v>3</v>
      </c>
      <c r="Z17">
        <v>1</v>
      </c>
      <c r="AB17">
        <f ca="1"/>
        <v>13.972413780360387</v>
      </c>
      <c r="AC17">
        <f ca="1"/>
        <v>1315.4827586206898</v>
      </c>
    </row>
    <row r="18" spans="3:29" x14ac:dyDescent="0.4">
      <c r="C18" t="s">
        <v>65</v>
      </c>
      <c r="G18" t="s">
        <v>66</v>
      </c>
      <c r="H18" t="s">
        <v>67</v>
      </c>
      <c r="I18" t="s">
        <v>68</v>
      </c>
      <c r="J18" t="s">
        <v>69</v>
      </c>
      <c r="K18" t="s">
        <v>70</v>
      </c>
      <c r="L18" t="s">
        <v>71</v>
      </c>
      <c r="Q18">
        <f ca="1"/>
        <v>14.834375008707866</v>
      </c>
      <c r="R18">
        <f ca="1"/>
        <v>19.834375008707866</v>
      </c>
      <c r="S18">
        <f ca="1"/>
        <v>1131.96875</v>
      </c>
      <c r="U18">
        <v>1233.7241379310344</v>
      </c>
      <c r="V18">
        <v>19.582758595203533</v>
      </c>
      <c r="W18">
        <v>14.582758595203533</v>
      </c>
      <c r="X18">
        <v>1</v>
      </c>
      <c r="Y18">
        <v>3</v>
      </c>
      <c r="Z18">
        <v>1</v>
      </c>
      <c r="AB18">
        <f ca="1"/>
        <v>14.582758595203533</v>
      </c>
      <c r="AC18">
        <f ca="1"/>
        <v>1233.7241379310344</v>
      </c>
    </row>
    <row r="19" spans="3:29" x14ac:dyDescent="0.4">
      <c r="C19" t="s">
        <v>66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10.596428544127516</v>
      </c>
      <c r="R19">
        <f ca="1"/>
        <v>15.596428544127516</v>
      </c>
      <c r="S19">
        <f ca="1"/>
        <v>1067.1428571428571</v>
      </c>
      <c r="U19">
        <v>1271.5625</v>
      </c>
      <c r="V19">
        <v>18.303125010337681</v>
      </c>
      <c r="W19">
        <v>13.303125010337681</v>
      </c>
      <c r="X19">
        <v>1</v>
      </c>
      <c r="Y19">
        <v>3</v>
      </c>
      <c r="Z19">
        <v>1</v>
      </c>
      <c r="AB19">
        <f ca="1"/>
        <v>13.303125010337681</v>
      </c>
      <c r="AC19">
        <f ca="1"/>
        <v>1271.5625</v>
      </c>
    </row>
    <row r="20" spans="3:29" x14ac:dyDescent="0.4">
      <c r="C20" t="s">
        <v>72</v>
      </c>
      <c r="D20">
        <v>18</v>
      </c>
      <c r="G20" t="s">
        <v>73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9.7352941281655259</v>
      </c>
      <c r="R20">
        <f ca="1"/>
        <v>14.735294128165526</v>
      </c>
      <c r="S20">
        <f ca="1"/>
        <v>1110.8823529411766</v>
      </c>
      <c r="U20">
        <v>951.93103448275861</v>
      </c>
      <c r="V20">
        <v>13.593103445038713</v>
      </c>
      <c r="W20">
        <v>8.5931034450387127</v>
      </c>
      <c r="X20">
        <v>1</v>
      </c>
      <c r="Y20">
        <v>3</v>
      </c>
      <c r="Z20">
        <v>1</v>
      </c>
      <c r="AB20">
        <f ca="1"/>
        <v>8.5931034450387127</v>
      </c>
      <c r="AC20">
        <f ca="1"/>
        <v>951.93103448275861</v>
      </c>
    </row>
    <row r="21" spans="3:29" x14ac:dyDescent="0.4">
      <c r="C21" t="s">
        <v>68</v>
      </c>
      <c r="D21">
        <f>VLOOKUP(D19,$G$19:$I$22,3,FALSE)</f>
        <v>44</v>
      </c>
      <c r="G21" t="s">
        <v>74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2.0062499605119228</v>
      </c>
      <c r="R21">
        <f ca="1"/>
        <v>7.0062499605119228</v>
      </c>
      <c r="S21">
        <f ca="1"/>
        <v>638.25</v>
      </c>
      <c r="U21">
        <v>653.09090909090912</v>
      </c>
      <c r="V21">
        <v>7.6939393679300947</v>
      </c>
      <c r="W21">
        <v>2.6939393679300947</v>
      </c>
      <c r="X21">
        <v>1</v>
      </c>
      <c r="Y21">
        <v>3</v>
      </c>
      <c r="Z21">
        <v>1</v>
      </c>
      <c r="AB21">
        <f ca="1"/>
        <v>2.6939393679300947</v>
      </c>
      <c r="AC21">
        <f ca="1"/>
        <v>653.09090909090912</v>
      </c>
    </row>
    <row r="22" spans="3:29" x14ac:dyDescent="0.4">
      <c r="C22" t="s">
        <v>75</v>
      </c>
      <c r="D22">
        <f>VLOOKUP(D19,$G$19:$I$22,2,FALSE)</f>
        <v>2</v>
      </c>
      <c r="G22" t="s">
        <v>76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-4.1677419293311333</v>
      </c>
      <c r="R22">
        <f ca="1"/>
        <v>0.83225807066886659</v>
      </c>
      <c r="S22">
        <f ca="1"/>
        <v>272.58064516129031</v>
      </c>
      <c r="U22">
        <v>957.89285714285711</v>
      </c>
      <c r="V22">
        <v>10.4964285833495</v>
      </c>
      <c r="W22">
        <v>5.4964285833495001</v>
      </c>
      <c r="X22">
        <v>1</v>
      </c>
      <c r="Y22">
        <v>3</v>
      </c>
      <c r="Z22">
        <v>1</v>
      </c>
      <c r="AB22">
        <f ca="1"/>
        <v>5.4964285833495001</v>
      </c>
      <c r="AC22">
        <f ca="1"/>
        <v>957.89285714285711</v>
      </c>
    </row>
    <row r="23" spans="3:29" x14ac:dyDescent="0.4">
      <c r="C23" t="s">
        <v>77</v>
      </c>
      <c r="D23">
        <f>_xlfn.XLOOKUP(MAX('DDD Model Calculations'!$D$14:$G$14),'DDD Model Calculations'!$D$14:$G$14,'DDD Model Calculations'!$D16:$G16)</f>
        <v>10</v>
      </c>
      <c r="Q23">
        <f ca="1"/>
        <v>-4.7677418493455459</v>
      </c>
      <c r="R23">
        <f ca="1"/>
        <v>0.23225815065445438</v>
      </c>
      <c r="S23">
        <f ca="1"/>
        <v>174.80645161290323</v>
      </c>
      <c r="U23">
        <v>1149.1176470588234</v>
      </c>
      <c r="V23">
        <v>16.788235287675086</v>
      </c>
      <c r="W23">
        <v>11.788235287675086</v>
      </c>
      <c r="X23">
        <v>1</v>
      </c>
      <c r="Y23">
        <v>4</v>
      </c>
      <c r="Z23">
        <v>1</v>
      </c>
      <c r="AB23">
        <f ca="1"/>
        <v>11.788235287675086</v>
      </c>
      <c r="AC23">
        <f ca="1"/>
        <v>1149.1176470588234</v>
      </c>
    </row>
    <row r="24" spans="3:29" x14ac:dyDescent="0.4">
      <c r="C24" t="s">
        <v>69</v>
      </c>
      <c r="D24">
        <f>VLOOKUP($D$19,$G$19:$L22,4,FALSE)</f>
        <v>40.299999237060547</v>
      </c>
      <c r="Q24">
        <f ca="1"/>
        <v>-5</v>
      </c>
      <c r="R24">
        <f ca="1"/>
        <v>0</v>
      </c>
      <c r="S24">
        <f ca="1"/>
        <v>175</v>
      </c>
      <c r="U24">
        <v>1269.7857142857142</v>
      </c>
      <c r="V24">
        <v>22.039285725780896</v>
      </c>
      <c r="W24">
        <v>17.039285725780896</v>
      </c>
      <c r="X24">
        <v>1</v>
      </c>
      <c r="Y24">
        <v>4</v>
      </c>
      <c r="Z24">
        <v>1</v>
      </c>
      <c r="AB24">
        <f ca="1"/>
        <v>17.039285725780896</v>
      </c>
      <c r="AC24">
        <f ca="1"/>
        <v>1269.7857142857142</v>
      </c>
    </row>
    <row r="25" spans="3:29" x14ac:dyDescent="0.4">
      <c r="C25" t="s">
        <v>78</v>
      </c>
      <c r="D25">
        <f>VLOOKUP($D$19,$G$19:$L23,5,FALSE)</f>
        <v>39.200000762939453</v>
      </c>
      <c r="Q25">
        <f ca="1"/>
        <v>-4.5121212583599668</v>
      </c>
      <c r="R25">
        <f ca="1"/>
        <v>0.48787874164003314</v>
      </c>
      <c r="S25">
        <f ca="1"/>
        <v>207.39393939393941</v>
      </c>
      <c r="U25">
        <v>1329.962962962963</v>
      </c>
      <c r="V25">
        <v>26.785185156045138</v>
      </c>
      <c r="W25">
        <v>21.785185156045138</v>
      </c>
      <c r="X25">
        <v>1</v>
      </c>
      <c r="Y25">
        <v>4</v>
      </c>
      <c r="Z25">
        <v>1</v>
      </c>
      <c r="AB25">
        <f ca="1"/>
        <v>21.785185156045138</v>
      </c>
      <c r="AC25">
        <f ca="1"/>
        <v>1329.962962962963</v>
      </c>
    </row>
    <row r="26" spans="3:29" x14ac:dyDescent="0.4">
      <c r="C26" t="s">
        <v>79</v>
      </c>
      <c r="D26">
        <f>VLOOKUP($D$19,$G$19:$L24,6,FALSE)</f>
        <v>38.799999237060547</v>
      </c>
      <c r="Q26">
        <f ca="1"/>
        <v>-0.51874998211860657</v>
      </c>
      <c r="R26">
        <f ca="1"/>
        <v>4.4812500178813934</v>
      </c>
      <c r="S26">
        <f ca="1"/>
        <v>539.28125</v>
      </c>
      <c r="U26">
        <v>1118.6060606060605</v>
      </c>
      <c r="V26">
        <v>17.312121201193694</v>
      </c>
      <c r="W26">
        <v>12.312121201193694</v>
      </c>
      <c r="X26">
        <v>1</v>
      </c>
      <c r="Y26">
        <v>4</v>
      </c>
      <c r="Z26">
        <v>1</v>
      </c>
      <c r="AB26">
        <f ca="1"/>
        <v>12.312121201193694</v>
      </c>
      <c r="AC26">
        <f ca="1"/>
        <v>1118.6060606060605</v>
      </c>
    </row>
    <row r="27" spans="3:29" x14ac:dyDescent="0.4">
      <c r="Q27">
        <f ca="1"/>
        <v>3.7571428673607965</v>
      </c>
      <c r="R27">
        <f ca="1"/>
        <v>8.7571428673607965</v>
      </c>
      <c r="S27">
        <f ca="1"/>
        <v>866.64285714285711</v>
      </c>
      <c r="U27">
        <v>951.64516129032256</v>
      </c>
      <c r="V27">
        <v>14.012903215423707</v>
      </c>
      <c r="W27">
        <v>9.012903215423707</v>
      </c>
      <c r="X27">
        <v>1</v>
      </c>
      <c r="Y27">
        <v>4</v>
      </c>
      <c r="Z27">
        <v>1</v>
      </c>
      <c r="AB27">
        <f ca="1"/>
        <v>9.012903215423707</v>
      </c>
      <c r="AC27">
        <f ca="1"/>
        <v>951.64516129032256</v>
      </c>
    </row>
    <row r="28" spans="3:29" x14ac:dyDescent="0.4">
      <c r="Q28">
        <f ca="1"/>
        <v>11.784375011920929</v>
      </c>
      <c r="R28">
        <f ca="1"/>
        <v>16.784375011920929</v>
      </c>
      <c r="S28">
        <f ca="1"/>
        <v>1254.03125</v>
      </c>
      <c r="U28">
        <v>369.25</v>
      </c>
      <c r="V28">
        <v>5.1874999850988388</v>
      </c>
      <c r="W28">
        <v>0.18749998509883881</v>
      </c>
      <c r="X28">
        <v>1</v>
      </c>
      <c r="Y28">
        <v>4</v>
      </c>
      <c r="Z28">
        <v>1</v>
      </c>
      <c r="AB28">
        <f ca="1"/>
        <v>0.18749998509883881</v>
      </c>
      <c r="AC28">
        <f ca="1"/>
        <v>369.25</v>
      </c>
    </row>
    <row r="29" spans="3:29" x14ac:dyDescent="0.4">
      <c r="Q29">
        <f ca="1"/>
        <v>13.972413780360387</v>
      </c>
      <c r="R29">
        <f ca="1"/>
        <v>18.972413780360387</v>
      </c>
      <c r="S29">
        <f ca="1"/>
        <v>1315.4827586206898</v>
      </c>
      <c r="U29">
        <v>858.09090909090912</v>
      </c>
      <c r="V29">
        <v>9.5848484454732947</v>
      </c>
      <c r="W29">
        <v>4.5848484454732947</v>
      </c>
      <c r="X29">
        <v>1</v>
      </c>
      <c r="Y29">
        <v>5</v>
      </c>
      <c r="Z29">
        <v>1</v>
      </c>
      <c r="AB29">
        <f ca="1"/>
        <v>4.5848484454732947</v>
      </c>
      <c r="AC29">
        <f ca="1"/>
        <v>858.09090909090912</v>
      </c>
    </row>
    <row r="30" spans="3:29" x14ac:dyDescent="0.4">
      <c r="Q30">
        <f ca="1"/>
        <v>14.582758595203533</v>
      </c>
      <c r="R30">
        <f ca="1"/>
        <v>19.582758595203533</v>
      </c>
      <c r="S30">
        <f ca="1"/>
        <v>1233.7241379310344</v>
      </c>
      <c r="U30">
        <v>1105.6071428571429</v>
      </c>
      <c r="V30">
        <v>14.164285734295845</v>
      </c>
      <c r="W30">
        <v>9.164285734295845</v>
      </c>
      <c r="X30">
        <v>1</v>
      </c>
      <c r="Y30">
        <v>5</v>
      </c>
      <c r="Z30">
        <v>1</v>
      </c>
      <c r="AB30">
        <f ca="1"/>
        <v>9.164285734295845</v>
      </c>
      <c r="AC30">
        <f ca="1"/>
        <v>1105.6071428571429</v>
      </c>
    </row>
    <row r="31" spans="3:29" x14ac:dyDescent="0.4">
      <c r="Q31">
        <f ca="1"/>
        <v>13.303125010337681</v>
      </c>
      <c r="R31">
        <f ca="1"/>
        <v>18.303125010337681</v>
      </c>
      <c r="S31">
        <f ca="1"/>
        <v>1271.5625</v>
      </c>
      <c r="U31">
        <v>1367.4482758620691</v>
      </c>
      <c r="V31">
        <v>22.81034480703288</v>
      </c>
      <c r="W31">
        <v>17.81034480703288</v>
      </c>
      <c r="X31">
        <v>1</v>
      </c>
      <c r="Y31">
        <v>5</v>
      </c>
      <c r="Z31">
        <v>1</v>
      </c>
      <c r="AB31">
        <f ca="1"/>
        <v>17.81034480703288</v>
      </c>
      <c r="AC31">
        <f ca="1"/>
        <v>1367.4482758620691</v>
      </c>
    </row>
    <row r="32" spans="3:29" x14ac:dyDescent="0.4">
      <c r="Q32">
        <f ca="1"/>
        <v>8.5931034450387127</v>
      </c>
      <c r="R32">
        <f ca="1"/>
        <v>13.593103445038713</v>
      </c>
      <c r="S32">
        <f ca="1"/>
        <v>951.93103448275861</v>
      </c>
      <c r="U32">
        <v>1164.7586206896551</v>
      </c>
      <c r="V32">
        <v>21.303448285522133</v>
      </c>
      <c r="W32">
        <v>16.303448285522133</v>
      </c>
      <c r="X32">
        <v>1</v>
      </c>
      <c r="Y32">
        <v>5</v>
      </c>
      <c r="Z32">
        <v>1</v>
      </c>
      <c r="AB32">
        <f ca="1"/>
        <v>16.303448285522133</v>
      </c>
      <c r="AC32">
        <f ca="1"/>
        <v>1164.7586206896551</v>
      </c>
    </row>
    <row r="33" spans="17:29" x14ac:dyDescent="0.4">
      <c r="Q33">
        <f ca="1"/>
        <v>2.6939393679300947</v>
      </c>
      <c r="R33">
        <f ca="1"/>
        <v>7.6939393679300947</v>
      </c>
      <c r="S33">
        <f ca="1"/>
        <v>653.09090909090912</v>
      </c>
      <c r="U33">
        <v>1183.8275862068965</v>
      </c>
      <c r="V33">
        <v>18.220689649211948</v>
      </c>
      <c r="W33">
        <v>13.220689649211948</v>
      </c>
      <c r="X33">
        <v>1</v>
      </c>
      <c r="Y33">
        <v>5</v>
      </c>
      <c r="Z33">
        <v>1</v>
      </c>
      <c r="AB33">
        <f ca="1"/>
        <v>13.220689649211948</v>
      </c>
      <c r="AC33">
        <f ca="1"/>
        <v>1183.8275862068965</v>
      </c>
    </row>
    <row r="34" spans="17:29" x14ac:dyDescent="0.4">
      <c r="Q34">
        <f ca="1"/>
        <v>-3.0793103514046507</v>
      </c>
      <c r="R34">
        <f ca="1"/>
        <v>1.9206896485953495</v>
      </c>
      <c r="S34">
        <f ca="1"/>
        <v>174.17241379310346</v>
      </c>
      <c r="U34">
        <v>1027.2941176470588</v>
      </c>
      <c r="V34">
        <v>12.48529411633225</v>
      </c>
      <c r="W34">
        <v>7.4852941163322502</v>
      </c>
      <c r="X34">
        <v>1</v>
      </c>
      <c r="Y34">
        <v>5</v>
      </c>
      <c r="Z34">
        <v>1</v>
      </c>
      <c r="AB34">
        <f ca="1"/>
        <v>7.4852941163322502</v>
      </c>
      <c r="AC34">
        <f ca="1"/>
        <v>1027.2941176470588</v>
      </c>
    </row>
    <row r="35" spans="17:29" x14ac:dyDescent="0.4">
      <c r="Q35">
        <f ca="1"/>
        <v>-5</v>
      </c>
      <c r="R35">
        <f ca="1"/>
        <v>0</v>
      </c>
      <c r="S35">
        <f ca="1"/>
        <v>169.87096774193549</v>
      </c>
      <c r="U35">
        <v>550.33333333333337</v>
      </c>
      <c r="V35">
        <v>6.0233333587646483</v>
      </c>
      <c r="W35">
        <v>1.0233333587646483</v>
      </c>
      <c r="X35">
        <v>1</v>
      </c>
      <c r="Y35">
        <v>5</v>
      </c>
      <c r="Z35">
        <v>1</v>
      </c>
      <c r="AB35">
        <f ca="1"/>
        <v>1.0233333587646483</v>
      </c>
      <c r="AC35">
        <f ca="1"/>
        <v>550.33333333333337</v>
      </c>
    </row>
    <row r="36" spans="17:29" x14ac:dyDescent="0.4">
      <c r="Q36">
        <f ca="1"/>
        <v>-5</v>
      </c>
      <c r="R36">
        <f ca="1"/>
        <v>0</v>
      </c>
      <c r="S36">
        <f ca="1"/>
        <v>185.16</v>
      </c>
    </row>
    <row r="37" spans="17:29" x14ac:dyDescent="0.4">
      <c r="Q37">
        <f ca="1"/>
        <v>-4.6812500059604645</v>
      </c>
      <c r="R37">
        <f ca="1"/>
        <v>0.31874999403953552</v>
      </c>
      <c r="S37">
        <f ca="1"/>
        <v>209.96875</v>
      </c>
    </row>
    <row r="38" spans="17:29" x14ac:dyDescent="0.4">
      <c r="Q38">
        <f ca="1"/>
        <v>-2.2028571537562778</v>
      </c>
      <c r="R38">
        <f ca="1"/>
        <v>2.7971428462437222</v>
      </c>
      <c r="S38">
        <f ca="1"/>
        <v>407.2</v>
      </c>
    </row>
    <row r="39" spans="17:29" x14ac:dyDescent="0.4">
      <c r="Q39">
        <f ca="1"/>
        <v>5.4964285833495001</v>
      </c>
      <c r="R39">
        <f ca="1"/>
        <v>10.4964285833495</v>
      </c>
      <c r="S39">
        <f ca="1"/>
        <v>957.89285714285711</v>
      </c>
    </row>
    <row r="40" spans="17:29" x14ac:dyDescent="0.4">
      <c r="Q40">
        <f ca="1"/>
        <v>11.788235287675086</v>
      </c>
      <c r="R40">
        <f ca="1"/>
        <v>16.788235287675086</v>
      </c>
      <c r="S40">
        <f ca="1"/>
        <v>1149.1176470588234</v>
      </c>
    </row>
    <row r="41" spans="17:29" x14ac:dyDescent="0.4">
      <c r="Q41">
        <f ca="1"/>
        <v>17.039285725780896</v>
      </c>
      <c r="R41">
        <f ca="1"/>
        <v>22.039285725780896</v>
      </c>
      <c r="S41">
        <f ca="1"/>
        <v>1269.7857142857142</v>
      </c>
    </row>
    <row r="42" spans="17:29" x14ac:dyDescent="0.4">
      <c r="Q42">
        <f ca="1"/>
        <v>21.785185156045138</v>
      </c>
      <c r="R42">
        <f ca="1"/>
        <v>26.785185156045138</v>
      </c>
      <c r="S42">
        <f ca="1"/>
        <v>1329.962962962963</v>
      </c>
    </row>
    <row r="43" spans="17:29" x14ac:dyDescent="0.4">
      <c r="Q43">
        <f ca="1"/>
        <v>12.312121201193694</v>
      </c>
      <c r="R43">
        <f ca="1"/>
        <v>17.312121201193694</v>
      </c>
      <c r="S43">
        <f ca="1"/>
        <v>1118.6060606060605</v>
      </c>
    </row>
    <row r="44" spans="17:29" x14ac:dyDescent="0.4">
      <c r="Q44">
        <f ca="1"/>
        <v>9.012903215423707</v>
      </c>
      <c r="R44">
        <f ca="1"/>
        <v>14.012903215423707</v>
      </c>
      <c r="S44">
        <f ca="1"/>
        <v>951.64516129032256</v>
      </c>
    </row>
    <row r="45" spans="17:29" x14ac:dyDescent="0.4">
      <c r="Q45">
        <f ca="1"/>
        <v>0.18749998509883881</v>
      </c>
      <c r="R45">
        <f ca="1"/>
        <v>5.1874999850988388</v>
      </c>
      <c r="S45">
        <f ca="1"/>
        <v>369.25</v>
      </c>
    </row>
    <row r="46" spans="17:29" x14ac:dyDescent="0.4">
      <c r="Q46">
        <f ca="1"/>
        <v>-3.6799999554951985</v>
      </c>
      <c r="R46">
        <f ca="1"/>
        <v>1.3200000445048015</v>
      </c>
      <c r="S46">
        <f ca="1"/>
        <v>197.93333333333334</v>
      </c>
    </row>
    <row r="47" spans="17:29" x14ac:dyDescent="0.4">
      <c r="Q47">
        <f ca="1"/>
        <v>-5</v>
      </c>
      <c r="R47">
        <f ca="1"/>
        <v>0</v>
      </c>
      <c r="S47">
        <f ca="1"/>
        <v>169.41935483870967</v>
      </c>
    </row>
    <row r="48" spans="17:29" x14ac:dyDescent="0.4">
      <c r="Q48">
        <f ca="1"/>
        <v>-4.8580645284345074</v>
      </c>
      <c r="R48">
        <f ca="1"/>
        <v>0.14193547156549269</v>
      </c>
      <c r="S48">
        <f ca="1"/>
        <v>160.19354838709677</v>
      </c>
    </row>
    <row r="49" spans="17:19" x14ac:dyDescent="0.4">
      <c r="Q49">
        <f ca="1"/>
        <v>-4.7666666348775228</v>
      </c>
      <c r="R49">
        <f ca="1"/>
        <v>0.23333336512247721</v>
      </c>
      <c r="S49">
        <f ca="1"/>
        <v>174.86666666666667</v>
      </c>
    </row>
    <row r="50" spans="17:19" x14ac:dyDescent="0.4">
      <c r="Q50">
        <f ca="1"/>
        <v>-0.28214280945914094</v>
      </c>
      <c r="R50">
        <f ca="1"/>
        <v>4.7178571905408591</v>
      </c>
      <c r="S50">
        <f ca="1"/>
        <v>481.17857142857144</v>
      </c>
    </row>
    <row r="51" spans="17:19" x14ac:dyDescent="0.4">
      <c r="Q51">
        <f ca="1"/>
        <v>4.5848484454732947</v>
      </c>
      <c r="R51">
        <f ca="1"/>
        <v>9.5848484454732947</v>
      </c>
      <c r="S51">
        <f ca="1"/>
        <v>858.09090909090912</v>
      </c>
    </row>
    <row r="52" spans="17:19" x14ac:dyDescent="0.4">
      <c r="Q52">
        <f ca="1"/>
        <v>9.164285734295845</v>
      </c>
      <c r="R52">
        <f ca="1"/>
        <v>14.164285734295845</v>
      </c>
      <c r="S52">
        <f ca="1"/>
        <v>1105.6071428571429</v>
      </c>
    </row>
    <row r="53" spans="17:19" x14ac:dyDescent="0.4">
      <c r="Q53">
        <f ca="1"/>
        <v>17.81034480703288</v>
      </c>
      <c r="R53">
        <f ca="1"/>
        <v>22.81034480703288</v>
      </c>
      <c r="S53">
        <f ca="1"/>
        <v>1367.4482758620691</v>
      </c>
    </row>
    <row r="54" spans="17:19" x14ac:dyDescent="0.4">
      <c r="Q54">
        <f ca="1"/>
        <v>16.303448285522133</v>
      </c>
      <c r="R54">
        <f ca="1"/>
        <v>21.303448285522133</v>
      </c>
      <c r="S54">
        <f ca="1"/>
        <v>1164.7586206896551</v>
      </c>
    </row>
    <row r="55" spans="17:19" x14ac:dyDescent="0.4">
      <c r="Q55">
        <f ca="1"/>
        <v>13.220689649211948</v>
      </c>
      <c r="R55">
        <f ca="1"/>
        <v>18.220689649211948</v>
      </c>
      <c r="S55">
        <f ca="1"/>
        <v>1183.8275862068965</v>
      </c>
    </row>
    <row r="56" spans="17:19" x14ac:dyDescent="0.4">
      <c r="Q56">
        <f ca="1"/>
        <v>7.4852941163322502</v>
      </c>
      <c r="R56">
        <f ca="1"/>
        <v>12.48529411633225</v>
      </c>
      <c r="S56">
        <f ca="1"/>
        <v>1027.2941176470588</v>
      </c>
    </row>
    <row r="57" spans="17:19" x14ac:dyDescent="0.4">
      <c r="Q57">
        <f ca="1"/>
        <v>4.3032257883779472</v>
      </c>
      <c r="R57">
        <f ca="1"/>
        <v>9.3032257883779472</v>
      </c>
      <c r="S57">
        <f ca="1"/>
        <v>494.09677419354841</v>
      </c>
    </row>
    <row r="58" spans="17:19" x14ac:dyDescent="0.4">
      <c r="Q58">
        <f ca="1"/>
        <v>-1.9566666920979818</v>
      </c>
      <c r="R58">
        <f ca="1"/>
        <v>3.0433333079020182</v>
      </c>
      <c r="S58">
        <f ca="1"/>
        <v>204.8</v>
      </c>
    </row>
    <row r="59" spans="17:19" x14ac:dyDescent="0.4">
      <c r="Q59">
        <f ca="1"/>
        <v>-4.9714285986764093</v>
      </c>
      <c r="R59">
        <f ca="1"/>
        <v>2.8571401323590959E-2</v>
      </c>
      <c r="S59">
        <f ca="1"/>
        <v>180.17857142857142</v>
      </c>
    </row>
    <row r="60" spans="17:19" x14ac:dyDescent="0.4">
      <c r="Q60">
        <f ca="1"/>
        <v>-5</v>
      </c>
      <c r="R60">
        <f ca="1"/>
        <v>0</v>
      </c>
      <c r="S60">
        <f ca="1"/>
        <v>182.38235294117646</v>
      </c>
    </row>
    <row r="61" spans="17:19" x14ac:dyDescent="0.4">
      <c r="Q61">
        <f ca="1"/>
        <v>-4.2799999872843424</v>
      </c>
      <c r="R61">
        <f ca="1"/>
        <v>0.7200000127156575</v>
      </c>
      <c r="S61">
        <f ca="1"/>
        <v>210.93333333333334</v>
      </c>
    </row>
    <row r="62" spans="17:19" x14ac:dyDescent="0.4">
      <c r="Q62">
        <f ca="1"/>
        <v>1.0233333587646483</v>
      </c>
      <c r="R62">
        <f ca="1"/>
        <v>6.0233333587646483</v>
      </c>
      <c r="S62">
        <f ca="1"/>
        <v>550.33333333333337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58203125" defaultRowHeight="16" x14ac:dyDescent="0.4"/>
  <cols>
    <col min="2" max="3" width="10.58203125" style="1"/>
  </cols>
  <sheetData>
    <row r="1" spans="1:35" x14ac:dyDescent="0.4">
      <c r="A1" s="21" t="s">
        <v>4</v>
      </c>
      <c r="B1" s="22" t="s">
        <v>5</v>
      </c>
      <c r="C1" s="22" t="s">
        <v>6</v>
      </c>
      <c r="D1" s="22" t="s">
        <v>7</v>
      </c>
      <c r="E1" s="22" t="s">
        <v>80</v>
      </c>
      <c r="F1" s="22" t="s">
        <v>81</v>
      </c>
      <c r="G1" t="s">
        <v>82</v>
      </c>
      <c r="H1" t="s">
        <v>83</v>
      </c>
      <c r="I1" t="s">
        <v>84</v>
      </c>
      <c r="J1" t="s">
        <v>85</v>
      </c>
      <c r="K1" t="s">
        <v>86</v>
      </c>
      <c r="L1" t="s">
        <v>87</v>
      </c>
      <c r="M1" t="s">
        <v>21</v>
      </c>
      <c r="N1" t="s">
        <v>88</v>
      </c>
      <c r="O1" t="s">
        <v>89</v>
      </c>
      <c r="P1" t="s">
        <v>90</v>
      </c>
      <c r="Q1" t="s">
        <v>91</v>
      </c>
      <c r="R1" t="s">
        <v>92</v>
      </c>
      <c r="S1" t="s">
        <v>93</v>
      </c>
      <c r="T1" t="s">
        <v>94</v>
      </c>
      <c r="U1" t="s">
        <v>95</v>
      </c>
      <c r="V1" t="s">
        <v>96</v>
      </c>
      <c r="W1" t="s">
        <v>97</v>
      </c>
      <c r="X1" t="s">
        <v>98</v>
      </c>
      <c r="Y1" t="s">
        <v>99</v>
      </c>
      <c r="Z1" t="s">
        <v>100</v>
      </c>
      <c r="AA1" t="s">
        <v>101</v>
      </c>
      <c r="AB1" t="s">
        <v>102</v>
      </c>
      <c r="AC1" t="s">
        <v>103</v>
      </c>
      <c r="AD1" t="s">
        <v>104</v>
      </c>
      <c r="AE1" t="s">
        <v>105</v>
      </c>
      <c r="AF1" t="s">
        <v>106</v>
      </c>
      <c r="AG1" t="s">
        <v>107</v>
      </c>
      <c r="AH1" t="s">
        <v>108</v>
      </c>
      <c r="AI1" t="s">
        <v>109</v>
      </c>
    </row>
    <row r="2" spans="1:35" x14ac:dyDescent="0.4">
      <c r="A2" s="2" cm="1">
        <f t="array" ref="A2:F61">_xlfn._xlws.SORT(_xlfn._xlws.FILTER('Accumulated Input Data'!A2:F134,('Accumulated Input Data'!D2:D134="A")+('Accumulated Input Data'!D2:D134="01")),1,-1)</f>
        <v>45751</v>
      </c>
      <c r="B2" s="1">
        <v>31</v>
      </c>
      <c r="C2" s="1">
        <v>1300871</v>
      </c>
      <c r="D2" t="str">
        <v>A</v>
      </c>
      <c r="E2">
        <v>42704</v>
      </c>
      <c r="F2">
        <v>1357827</v>
      </c>
      <c r="G2">
        <f>IF(F3&gt;0,F2-F3,"")</f>
        <v>42704</v>
      </c>
      <c r="H2" s="2">
        <f>IF(A2&lt;&gt;"",DATE(YEAR(A2),MONTH(A2),DAY(A2)),"")</f>
        <v>45751</v>
      </c>
      <c r="I2">
        <f>IF(A3&gt;0,A2-A3,"")</f>
        <v>31</v>
      </c>
      <c r="J2">
        <f>I2</f>
        <v>31</v>
      </c>
      <c r="K2">
        <f>IF(AND($H3&gt;0,$H3&lt;&gt;""),VLOOKUP($H3,'Weather Data'!$L$2:$P$4170,'DDD Model Calculations'!$D$22,FALSE),"")</f>
        <v>40832.200002647936</v>
      </c>
      <c r="L2">
        <f>IF(AND($K2&gt;0,$K2&lt;&gt;""),VLOOKUP($H2,'Weather Data'!$L$2:$P$4170,'DDD Model Calculations'!$D$22,FALSE),"")</f>
        <v>41284.600002020597</v>
      </c>
      <c r="M2">
        <f>L2-K2</f>
        <v>452.39999937266111</v>
      </c>
      <c r="N2">
        <f t="shared" ref="N2:N33" si="0">IF(AND($I2&gt;0,$I2&lt;&gt;""),G2/$I2,"")</f>
        <v>1377.5483870967741</v>
      </c>
      <c r="O2">
        <f t="shared" ref="O2:O33" si="1">IF(AND($I2&gt;0,$I2&lt;&gt;""),$M2/$I2,"")</f>
        <v>14.593548366860036</v>
      </c>
      <c r="P2">
        <f>IF(AND($I2&gt;0,$I2&lt;&gt;""),$M2/$I2-5,"")</f>
        <v>9.5935483668600359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0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284.70687291102922</v>
      </c>
      <c r="Y2">
        <f>IF(AND($N2&gt;0,$N2&lt;&gt;""),$N2-('DDD Model Calculations'!L$13+'DDD Model Calculations'!L$12*WorkingData!$P2),"")</f>
        <v>289.51112522257358</v>
      </c>
      <c r="Z2">
        <f>IF(AND($N2&gt;0,$N2&lt;&gt;""),$N2-('DDD Model Calculations'!M$13+'DDD Model Calculations'!M$12*WorkingData!$P2),"")</f>
        <v>328.90507898631427</v>
      </c>
      <c r="AA2">
        <f>IF(AND($N2&gt;0,$N2&lt;&gt;""),$N2-('DDD Model Calculations'!N$13+'DDD Model Calculations'!N$12*WorkingData!$P2),"")</f>
        <v>344.4887665614981</v>
      </c>
      <c r="AB2">
        <f>IF(X2&lt;&gt;"",X2/'DDD Model Calculations'!K$11,"")</f>
        <v>1.2724518245925618</v>
      </c>
      <c r="AC2">
        <f>IF(Y2&lt;&gt;"",Y2/'DDD Model Calculations'!L$11,"")</f>
        <v>1.6470445647654803</v>
      </c>
      <c r="AD2">
        <f>IF(Z2&lt;&gt;"",Z2/'DDD Model Calculations'!M$11,"")</f>
        <v>2.1431950929313577</v>
      </c>
      <c r="AE2">
        <f>IF(AA2&lt;&gt;"",AA2/'DDD Model Calculations'!N$11,"")</f>
        <v>2.2877639455386207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0</v>
      </c>
      <c r="AI2">
        <f t="shared" ref="AI2:AI33" si="11">IF(AE2="","",IF(ABS(AE2)&gt;2,0,1))</f>
        <v>0</v>
      </c>
    </row>
    <row r="3" spans="1:35" x14ac:dyDescent="0.4">
      <c r="A3" s="2">
        <v>45720</v>
      </c>
      <c r="B3" s="1">
        <v>26</v>
      </c>
      <c r="C3" s="1">
        <v>1258167</v>
      </c>
      <c r="D3" t="str">
        <v>A</v>
      </c>
      <c r="E3">
        <v>39169</v>
      </c>
      <c r="F3">
        <v>1315123</v>
      </c>
      <c r="G3">
        <f t="shared" ref="G3:G66" si="12">IF(F4&gt;0,F3-F4,"")</f>
        <v>39169</v>
      </c>
      <c r="H3" s="2">
        <f t="shared" ref="H3:H66" si="13">IF(A3&lt;&gt;"",DATE(YEAR(A3),MONTH(A3),DAY(A3)),"")</f>
        <v>45720</v>
      </c>
      <c r="I3">
        <f t="shared" ref="I3:I66" si="14">IF(A4&gt;0,A3-A4,"")</f>
        <v>26</v>
      </c>
      <c r="J3">
        <f t="shared" ref="J3:J34" si="15">IF(AND(I3&gt;0,I3&lt;&gt;""),I3+J2,"")</f>
        <v>57</v>
      </c>
      <c r="K3">
        <f>IF(AND($H4&gt;0,$H4&lt;&gt;""),VLOOKUP($H4,'Weather Data'!$L$2:$P$4170,'DDD Model Calculations'!$D$22,FALSE),"")</f>
        <v>40245.900002360344</v>
      </c>
      <c r="L3">
        <f>IF(AND($K3&gt;0,$K3&lt;&gt;""),VLOOKUP($H3,'Weather Data'!$L$2:$P$4170,'DDD Model Calculations'!$D$22,FALSE),"")</f>
        <v>40832.200002647936</v>
      </c>
      <c r="M3">
        <f t="shared" ref="M3:M34" si="16">IF(AND(K3&gt;0,K3&lt;&gt;""),L3-K3,"")</f>
        <v>586.30000028759241</v>
      </c>
      <c r="N3">
        <f t="shared" si="0"/>
        <v>1506.5</v>
      </c>
      <c r="O3">
        <f t="shared" si="1"/>
        <v>22.550000011061247</v>
      </c>
      <c r="P3">
        <f t="shared" ref="P3:P34" si="17">IF(AND($I3&gt;0,$I3&lt;&gt;""),M3/$I3-5,"")</f>
        <v>17.550000011061247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115.32324645856579</v>
      </c>
      <c r="Y3">
        <f>IF(AND($N3&gt;0,$N3&lt;&gt;""),$N3-('DDD Model Calculations'!L$13+'DDD Model Calculations'!L$12*WorkingData!$P3),"")</f>
        <v>99.16331516255832</v>
      </c>
      <c r="Z3">
        <f>IF(AND($N3&gt;0,$N3&lt;&gt;""),$N3-('DDD Model Calculations'!M$13+'DDD Model Calculations'!M$12*WorkingData!$P3),"")</f>
        <v>126.91119325482805</v>
      </c>
      <c r="AA3">
        <f>IF(AND($N3&gt;0,$N3&lt;&gt;""),$N3-('DDD Model Calculations'!N$13+'DDD Model Calculations'!N$12*WorkingData!$P3),"")</f>
        <v>130.34735698901704</v>
      </c>
      <c r="AB3">
        <f>IF(X3&lt;&gt;"",X3/'DDD Model Calculations'!K$11,"")</f>
        <v>0.51541880206031043</v>
      </c>
      <c r="AC3">
        <f>IF(Y3&lt;&gt;"",Y3/'DDD Model Calculations'!L$11,"")</f>
        <v>0.5641455026540142</v>
      </c>
      <c r="AD3">
        <f>IF(Z3&lt;&gt;"",Z3/'DDD Model Calculations'!M$11,"")</f>
        <v>0.82697247321355105</v>
      </c>
      <c r="AE3">
        <f>IF(AA3&lt;&gt;"",AA3/'DDD Model Calculations'!N$11,"")</f>
        <v>0.86564211278131586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4">
      <c r="A4" s="2">
        <v>45694</v>
      </c>
      <c r="B4" s="1">
        <v>33</v>
      </c>
      <c r="C4" s="1">
        <v>1218998</v>
      </c>
      <c r="D4" t="str">
        <v>A</v>
      </c>
      <c r="E4">
        <v>42857</v>
      </c>
      <c r="F4">
        <v>1275954</v>
      </c>
      <c r="G4">
        <f t="shared" si="12"/>
        <v>42857</v>
      </c>
      <c r="H4" s="2">
        <f t="shared" si="13"/>
        <v>45694</v>
      </c>
      <c r="I4">
        <f t="shared" si="14"/>
        <v>33</v>
      </c>
      <c r="J4">
        <f t="shared" si="15"/>
        <v>90</v>
      </c>
      <c r="K4">
        <f>IF(AND($H5&gt;0,$H5&lt;&gt;""),VLOOKUP($H5,'Weather Data'!$L$2:$P$4170,'DDD Model Calculations'!$D$22,FALSE),"")</f>
        <v>39455.600003220141</v>
      </c>
      <c r="L4">
        <f>IF(AND($K4&gt;0,$K4&lt;&gt;""),VLOOKUP($H4,'Weather Data'!$L$2:$P$4170,'DDD Model Calculations'!$D$22,FALSE),"")</f>
        <v>40245.900002360344</v>
      </c>
      <c r="M4">
        <f t="shared" si="16"/>
        <v>790.299999140203</v>
      </c>
      <c r="N4">
        <f t="shared" si="0"/>
        <v>1298.6969696969697</v>
      </c>
      <c r="O4">
        <f t="shared" si="1"/>
        <v>23.948484822430395</v>
      </c>
      <c r="P4">
        <f t="shared" si="17"/>
        <v>18.948484822430395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-144.91739291850263</v>
      </c>
      <c r="Y4">
        <f>IF(AND($N4&gt;0,$N4&lt;&gt;""),$N4-('DDD Model Calculations'!L$13+'DDD Model Calculations'!L$12*WorkingData!$P4),"")</f>
        <v>-164.76214424094519</v>
      </c>
      <c r="Z4">
        <f>IF(AND($N4&gt;0,$N4&lt;&gt;""),$N4-('DDD Model Calculations'!M$13+'DDD Model Calculations'!M$12*WorkingData!$P4),"")</f>
        <v>-139.06126657888308</v>
      </c>
      <c r="AA4">
        <f>IF(AND($N4&gt;0,$N4&lt;&gt;""),$N4-('DDD Model Calculations'!N$13+'DDD Model Calculations'!N$12*WorkingData!$P4),"")</f>
        <v>-137.76024151543038</v>
      </c>
      <c r="AB4">
        <f>IF(X4&lt;&gt;"",X4/'DDD Model Calculations'!K$11,"")</f>
        <v>-0.64768510555757086</v>
      </c>
      <c r="AC4">
        <f>IF(Y4&lt;&gt;"",Y4/'DDD Model Calculations'!L$11,"")</f>
        <v>-0.93734081528828139</v>
      </c>
      <c r="AD4">
        <f>IF(Z4&lt;&gt;"",Z4/'DDD Model Calculations'!M$11,"")</f>
        <v>-0.90614418320090107</v>
      </c>
      <c r="AE4">
        <f>IF(AA4&lt;&gt;"",AA4/'DDD Model Calculations'!N$11,"")</f>
        <v>-0.91487138118749489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4">
      <c r="A5" s="2">
        <v>45661</v>
      </c>
      <c r="B5" s="1">
        <v>30</v>
      </c>
      <c r="C5" s="1">
        <v>1176141</v>
      </c>
      <c r="D5" t="str">
        <v>A</v>
      </c>
      <c r="E5">
        <v>35518</v>
      </c>
      <c r="F5">
        <v>1233097</v>
      </c>
      <c r="G5">
        <f t="shared" si="12"/>
        <v>35518</v>
      </c>
      <c r="H5" s="2">
        <f t="shared" si="13"/>
        <v>45661</v>
      </c>
      <c r="I5">
        <f t="shared" si="14"/>
        <v>30</v>
      </c>
      <c r="J5">
        <f t="shared" si="15"/>
        <v>120</v>
      </c>
      <c r="K5">
        <f>IF(AND($H6&gt;0,$H6&lt;&gt;""),VLOOKUP($H6,'Weather Data'!$L$2:$P$4170,'DDD Model Calculations'!$D$22,FALSE),"")</f>
        <v>38896.400003887713</v>
      </c>
      <c r="L5">
        <f>IF(AND($K5&gt;0,$K5&lt;&gt;""),VLOOKUP($H5,'Weather Data'!$L$2:$P$4170,'DDD Model Calculations'!$D$22,FALSE),"")</f>
        <v>39455.600003220141</v>
      </c>
      <c r="M5">
        <f t="shared" si="16"/>
        <v>559.19999933242798</v>
      </c>
      <c r="N5">
        <f t="shared" si="0"/>
        <v>1183.9333333333334</v>
      </c>
      <c r="O5">
        <f t="shared" si="1"/>
        <v>18.6399999777476</v>
      </c>
      <c r="P5">
        <f t="shared" si="17"/>
        <v>13.6399999777476</v>
      </c>
      <c r="Q5">
        <f t="shared" si="2"/>
        <v>1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-60.633995808527288</v>
      </c>
      <c r="Y5">
        <f>IF(AND($N5&gt;0,$N5&lt;&gt;""),$N5-('DDD Model Calculations'!L$13+'DDD Model Calculations'!L$12*WorkingData!$P5),"")</f>
        <v>-66.491601109295061</v>
      </c>
      <c r="Z5">
        <f>IF(AND($N5&gt;0,$N5&lt;&gt;""),$N5-('DDD Model Calculations'!M$13+'DDD Model Calculations'!M$12*WorkingData!$P5),"")</f>
        <v>-33.020549132519591</v>
      </c>
      <c r="AA5">
        <f>IF(AND($N5&gt;0,$N5&lt;&gt;""),$N5-('DDD Model Calculations'!N$13+'DDD Model Calculations'!N$12*WorkingData!$P5),"")</f>
        <v>-23.614787297701923</v>
      </c>
      <c r="AB5">
        <f>IF(X5&lt;&gt;"",X5/'DDD Model Calculations'!K$11,"")</f>
        <v>-0.27099394478969546</v>
      </c>
      <c r="AC5">
        <f>IF(Y5&lt;&gt;"",Y5/'DDD Model Calculations'!L$11,"")</f>
        <v>-0.37827434135881632</v>
      </c>
      <c r="AD5">
        <f>IF(Z5&lt;&gt;"",Z5/'DDD Model Calculations'!M$11,"")</f>
        <v>-0.21516687758312025</v>
      </c>
      <c r="AE5">
        <f>IF(AA5&lt;&gt;"",AA5/'DDD Model Calculations'!N$11,"")</f>
        <v>-0.15682676535579079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 x14ac:dyDescent="0.4">
      <c r="A6" s="2">
        <v>45631</v>
      </c>
      <c r="B6" s="1">
        <v>28</v>
      </c>
      <c r="C6" s="1">
        <v>1140623</v>
      </c>
      <c r="D6" t="str">
        <v>A</v>
      </c>
      <c r="E6">
        <v>26277</v>
      </c>
      <c r="F6">
        <v>1197579</v>
      </c>
      <c r="G6">
        <f t="shared" si="12"/>
        <v>26277</v>
      </c>
      <c r="H6" s="2">
        <f t="shared" si="13"/>
        <v>45631</v>
      </c>
      <c r="I6">
        <f t="shared" si="14"/>
        <v>28</v>
      </c>
      <c r="J6">
        <f t="shared" si="15"/>
        <v>148</v>
      </c>
      <c r="K6">
        <f>IF(AND($H7&gt;0,$H7&lt;&gt;""),VLOOKUP($H7,'Weather Data'!$L$2:$P$4170,'DDD Model Calculations'!$D$22,FALSE),"")</f>
        <v>38494.300003528595</v>
      </c>
      <c r="L6">
        <f>IF(AND($K6&gt;0,$K6&lt;&gt;""),VLOOKUP($H6,'Weather Data'!$L$2:$P$4170,'DDD Model Calculations'!$D$22,FALSE),"")</f>
        <v>38896.400003887713</v>
      </c>
      <c r="M6">
        <f t="shared" si="16"/>
        <v>402.10000035911798</v>
      </c>
      <c r="N6">
        <f t="shared" si="0"/>
        <v>938.46428571428567</v>
      </c>
      <c r="O6">
        <f t="shared" si="1"/>
        <v>14.360714298539929</v>
      </c>
      <c r="P6">
        <f t="shared" si="17"/>
        <v>9.3607142985399285</v>
      </c>
      <c r="Q6">
        <f t="shared" si="2"/>
        <v>1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-145.64687848522351</v>
      </c>
      <c r="Y6">
        <f>IF(AND($N6&gt;0,$N6&lt;&gt;""),$N6-('DDD Model Calculations'!L$13+'DDD Model Calculations'!L$12*WorkingData!$P6),"")</f>
        <v>-140.2291396125039</v>
      </c>
      <c r="Z6">
        <f>IF(AND($N6&gt;0,$N6&lt;&gt;""),$N6-('DDD Model Calculations'!M$13+'DDD Model Calculations'!M$12*WorkingData!$P6),"")</f>
        <v>-100.49438026107043</v>
      </c>
      <c r="AA6">
        <f>IF(AND($N6&gt;0,$N6&lt;&gt;""),$N6-('DDD Model Calculations'!N$13+'DDD Model Calculations'!N$12*WorkingData!$P6),"")</f>
        <v>-84.555212941599279</v>
      </c>
      <c r="AB6">
        <f>IF(X6&lt;&gt;"",X6/'DDD Model Calculations'!K$11,"")</f>
        <v>-0.65094542460395366</v>
      </c>
      <c r="AC6">
        <f>IF(Y6&lt;&gt;"",Y6/'DDD Model Calculations'!L$11,"")</f>
        <v>-0.79777121533050399</v>
      </c>
      <c r="AD6">
        <f>IF(Z6&lt;&gt;"",Z6/'DDD Model Calculations'!M$11,"")</f>
        <v>-0.65483653614137693</v>
      </c>
      <c r="AE6">
        <f>IF(AA6&lt;&gt;"",AA6/'DDD Model Calculations'!N$11,"")</f>
        <v>-0.56153461695128482</v>
      </c>
      <c r="AF6">
        <f t="shared" si="8"/>
        <v>1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4">
      <c r="A7" s="2">
        <v>45603</v>
      </c>
      <c r="B7" s="1">
        <v>34</v>
      </c>
      <c r="C7" s="1">
        <v>1114346</v>
      </c>
      <c r="D7" t="str">
        <v>A</v>
      </c>
      <c r="E7">
        <v>18563</v>
      </c>
      <c r="F7">
        <v>1171302</v>
      </c>
      <c r="G7">
        <f t="shared" si="12"/>
        <v>18563</v>
      </c>
      <c r="H7" s="2">
        <f t="shared" si="13"/>
        <v>45603</v>
      </c>
      <c r="I7">
        <f t="shared" si="14"/>
        <v>34</v>
      </c>
      <c r="J7">
        <f t="shared" si="15"/>
        <v>182</v>
      </c>
      <c r="K7">
        <f>IF(AND($H8&gt;0,$H8&lt;&gt;""),VLOOKUP($H8,'Weather Data'!$L$2:$P$4170,'DDD Model Calculations'!$D$22,FALSE),"")</f>
        <v>38260.300002098083</v>
      </c>
      <c r="L7">
        <f>IF(AND($K7&gt;0,$K7&lt;&gt;""),VLOOKUP($H7,'Weather Data'!$L$2:$P$4170,'DDD Model Calculations'!$D$22,FALSE),"")</f>
        <v>38494.300003528595</v>
      </c>
      <c r="M7">
        <f t="shared" si="16"/>
        <v>234.00000143051147</v>
      </c>
      <c r="N7">
        <f t="shared" si="0"/>
        <v>545.97058823529414</v>
      </c>
      <c r="O7">
        <f t="shared" si="1"/>
        <v>6.8823529832503372</v>
      </c>
      <c r="P7">
        <f t="shared" si="17"/>
        <v>1.8823529832503372</v>
      </c>
      <c r="Q7">
        <f t="shared" si="2"/>
        <v>1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-257.7318193030369</v>
      </c>
      <c r="Y7">
        <f>IF(AND($N7&gt;0,$N7&lt;&gt;""),$N7-('DDD Model Calculations'!L$13+'DDD Model Calculations'!L$12*WorkingData!$P7),"")</f>
        <v>-232.6096007566922</v>
      </c>
      <c r="Z7">
        <f>IF(AND($N7&gt;0,$N7&lt;&gt;""),$N7-('DDD Model Calculations'!M$13+'DDD Model Calculations'!M$12*WorkingData!$P7),"")</f>
        <v>-181.92855961142197</v>
      </c>
      <c r="AA7">
        <f>IF(AND($N7&gt;0,$N7&lt;&gt;""),$N7-('DDD Model Calculations'!N$13+'DDD Model Calculations'!N$12*WorkingData!$P7),"")</f>
        <v>-154.57179353921265</v>
      </c>
      <c r="AB7">
        <f>IF(X7&lt;&gt;"",X7/'DDD Model Calculations'!K$11,"")</f>
        <v>-1.1518911376269949</v>
      </c>
      <c r="AC7">
        <f>IF(Y7&lt;&gt;"",Y7/'DDD Model Calculations'!L$11,"")</f>
        <v>-1.3233286919251903</v>
      </c>
      <c r="AD7">
        <f>IF(Z7&lt;&gt;"",Z7/'DDD Model Calculations'!M$11,"")</f>
        <v>-1.1854739289066849</v>
      </c>
      <c r="AE7">
        <f>IF(AA7&lt;&gt;"",AA7/'DDD Model Calculations'!N$11,"")</f>
        <v>-1.0265175836818508</v>
      </c>
      <c r="AF7">
        <f t="shared" si="8"/>
        <v>1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 x14ac:dyDescent="0.4">
      <c r="A8" s="2">
        <v>45569</v>
      </c>
      <c r="B8" s="1">
        <v>31</v>
      </c>
      <c r="C8" s="1">
        <v>1095783</v>
      </c>
      <c r="D8" t="str">
        <v>A</v>
      </c>
      <c r="E8">
        <v>5796</v>
      </c>
      <c r="F8">
        <v>1152739</v>
      </c>
      <c r="G8">
        <f t="shared" si="12"/>
        <v>5796</v>
      </c>
      <c r="H8" s="2">
        <f t="shared" si="13"/>
        <v>45569</v>
      </c>
      <c r="I8">
        <f t="shared" si="14"/>
        <v>31</v>
      </c>
      <c r="J8">
        <f t="shared" si="15"/>
        <v>213</v>
      </c>
      <c r="K8">
        <f>IF(AND($H9&gt;0,$H9&lt;&gt;""),VLOOKUP($H9,'Weather Data'!$L$2:$P$4170,'DDD Model Calculations'!$D$22,FALSE),"")</f>
        <v>38236.400001525879</v>
      </c>
      <c r="L8">
        <f>IF(AND($K8&gt;0,$K8&lt;&gt;""),VLOOKUP($H8,'Weather Data'!$L$2:$P$4170,'DDD Model Calculations'!$D$22,FALSE),"")</f>
        <v>38260.300002098083</v>
      </c>
      <c r="M8">
        <f t="shared" si="16"/>
        <v>23.90000057220459</v>
      </c>
      <c r="N8">
        <f t="shared" si="0"/>
        <v>186.96774193548387</v>
      </c>
      <c r="O8">
        <f t="shared" si="1"/>
        <v>0.77096776039369641</v>
      </c>
      <c r="P8">
        <f t="shared" si="17"/>
        <v>-4.2290322396063038</v>
      </c>
      <c r="Q8">
        <f t="shared" si="2"/>
        <v>0</v>
      </c>
      <c r="R8">
        <f t="shared" si="3"/>
        <v>1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1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-387.58206658157792</v>
      </c>
      <c r="Y8">
        <f>IF(AND($N8&gt;0,$N8&lt;&gt;""),$N8-('DDD Model Calculations'!L$13+'DDD Model Calculations'!L$12*WorkingData!$P8),"")</f>
        <v>-346.35716713704369</v>
      </c>
      <c r="Z8">
        <f>IF(AND($N8&gt;0,$N8&lt;&gt;""),$N8-('DDD Model Calculations'!M$13+'DDD Model Calculations'!M$12*WorkingData!$P8),"")</f>
        <v>-286.73072445530249</v>
      </c>
      <c r="AA8">
        <f>IF(AND($N8&gt;0,$N8&lt;&gt;""),$N8-('DDD Model Calculations'!N$13+'DDD Model Calculations'!N$12*WorkingData!$P8),"")</f>
        <v>-250.04339231973225</v>
      </c>
      <c r="AB8">
        <f>IF(X8&lt;&gt;"",X8/'DDD Model Calculations'!K$11,"")</f>
        <v>-1.7322360460023141</v>
      </c>
      <c r="AC8">
        <f>IF(Y8&lt;&gt;"",Y8/'DDD Model Calculations'!L$11,"")</f>
        <v>-1.9704447943479475</v>
      </c>
      <c r="AD8">
        <f>IF(Z8&lt;&gt;"",Z8/'DDD Model Calculations'!M$11,"")</f>
        <v>-1.8683806389953244</v>
      </c>
      <c r="AE8">
        <f>IF(AA8&lt;&gt;"",AA8/'DDD Model Calculations'!N$11,"")</f>
        <v>-1.6605483641137289</v>
      </c>
      <c r="AF8">
        <f t="shared" si="8"/>
        <v>1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4">
      <c r="A9" s="2">
        <v>45538</v>
      </c>
      <c r="B9" s="1">
        <v>31</v>
      </c>
      <c r="C9" s="1">
        <v>1089987</v>
      </c>
      <c r="D9" t="str">
        <v>A</v>
      </c>
      <c r="E9">
        <v>4776</v>
      </c>
      <c r="F9">
        <v>1146943</v>
      </c>
      <c r="G9">
        <f t="shared" si="12"/>
        <v>4776</v>
      </c>
      <c r="H9" s="2">
        <f t="shared" si="13"/>
        <v>45538</v>
      </c>
      <c r="I9">
        <f t="shared" si="14"/>
        <v>31</v>
      </c>
      <c r="J9">
        <f t="shared" si="15"/>
        <v>244</v>
      </c>
      <c r="K9">
        <f>IF(AND($H10&gt;0,$H10&lt;&gt;""),VLOOKUP($H10,'Weather Data'!$L$2:$P$4170,'DDD Model Calculations'!$D$22,FALSE),"")</f>
        <v>38225.200000762939</v>
      </c>
      <c r="L9">
        <f>IF(AND($K9&gt;0,$K9&lt;&gt;""),VLOOKUP($H9,'Weather Data'!$L$2:$P$4170,'DDD Model Calculations'!$D$22,FALSE),"")</f>
        <v>38236.400001525879</v>
      </c>
      <c r="M9">
        <f t="shared" si="16"/>
        <v>11.200000762939453</v>
      </c>
      <c r="N9">
        <f t="shared" si="0"/>
        <v>154.06451612903226</v>
      </c>
      <c r="O9">
        <f t="shared" si="1"/>
        <v>0.36129034719159525</v>
      </c>
      <c r="P9">
        <f t="shared" si="17"/>
        <v>-4.6387096528084051</v>
      </c>
      <c r="Q9">
        <f t="shared" si="2"/>
        <v>0</v>
      </c>
      <c r="R9">
        <f t="shared" si="3"/>
        <v>1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1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-405.12402148590007</v>
      </c>
      <c r="Y9">
        <f>IF(AND($N9&gt;0,$N9&lt;&gt;""),$N9-('DDD Model Calculations'!L$13+'DDD Model Calculations'!L$12*WorkingData!$P9),"")</f>
        <v>-362.819676970334</v>
      </c>
      <c r="Z9">
        <f>IF(AND($N9&gt;0,$N9&lt;&gt;""),$N9-('DDD Model Calculations'!M$13+'DDD Model Calculations'!M$12*WorkingData!$P9),"")</f>
        <v>-302.59357826497813</v>
      </c>
      <c r="AA9">
        <f>IF(AND($N9&gt;0,$N9&lt;&gt;""),$N9-('DDD Model Calculations'!N$13+'DDD Model Calculations'!N$12*WorkingData!$P9),"")</f>
        <v>-265.28077055731461</v>
      </c>
      <c r="AB9">
        <f>IF(X9&lt;&gt;"",X9/'DDD Model Calculations'!K$11,"")</f>
        <v>-1.8106370073022562</v>
      </c>
      <c r="AC9">
        <f>IF(Y9&lt;&gt;"",Y9/'DDD Model Calculations'!L$11,"")</f>
        <v>-2.0641009097130261</v>
      </c>
      <c r="AD9">
        <f>IF(Z9&lt;&gt;"",Z9/'DDD Model Calculations'!M$11,"")</f>
        <v>-1.971745386507171</v>
      </c>
      <c r="AE9">
        <f>IF(AA9&lt;&gt;"",AA9/'DDD Model Calculations'!N$11,"")</f>
        <v>-1.7617404143057418</v>
      </c>
      <c r="AF9">
        <f t="shared" si="8"/>
        <v>1</v>
      </c>
      <c r="AG9">
        <f t="shared" si="9"/>
        <v>0</v>
      </c>
      <c r="AH9">
        <f t="shared" si="10"/>
        <v>1</v>
      </c>
      <c r="AI9">
        <f t="shared" si="11"/>
        <v>1</v>
      </c>
    </row>
    <row r="10" spans="1:35" x14ac:dyDescent="0.4">
      <c r="A10" s="2">
        <v>45507</v>
      </c>
      <c r="B10" s="1">
        <v>28</v>
      </c>
      <c r="C10" s="1">
        <v>1085211</v>
      </c>
      <c r="D10" t="str">
        <v>A</v>
      </c>
      <c r="E10">
        <v>4714</v>
      </c>
      <c r="F10">
        <v>1142167</v>
      </c>
      <c r="G10">
        <f t="shared" si="12"/>
        <v>4714</v>
      </c>
      <c r="H10" s="2">
        <f t="shared" si="13"/>
        <v>45507</v>
      </c>
      <c r="I10">
        <f t="shared" si="14"/>
        <v>28</v>
      </c>
      <c r="J10">
        <f t="shared" si="15"/>
        <v>272</v>
      </c>
      <c r="K10">
        <f>IF(AND($H11&gt;0,$H11&lt;&gt;""),VLOOKUP($H11,'Weather Data'!$L$2:$P$4170,'DDD Model Calculations'!$D$22,FALSE),"")</f>
        <v>38225.200000762939</v>
      </c>
      <c r="L10">
        <f>IF(AND($K10&gt;0,$K10&lt;&gt;""),VLOOKUP($H10,'Weather Data'!$L$2:$P$4170,'DDD Model Calculations'!$D$22,FALSE),"")</f>
        <v>38225.200000762939</v>
      </c>
      <c r="M10">
        <f t="shared" si="16"/>
        <v>0</v>
      </c>
      <c r="N10">
        <f t="shared" si="0"/>
        <v>168.35714285714286</v>
      </c>
      <c r="O10">
        <f t="shared" si="1"/>
        <v>0</v>
      </c>
      <c r="P10">
        <f t="shared" si="17"/>
        <v>-5</v>
      </c>
      <c r="Q10">
        <f t="shared" si="2"/>
        <v>0</v>
      </c>
      <c r="R10">
        <f t="shared" si="3"/>
        <v>1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1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-377.2844460642898</v>
      </c>
      <c r="Y10">
        <f>IF(AND($N10&gt;0,$N10&lt;&gt;""),$N10-('DDD Model Calculations'!L$13+'DDD Model Calculations'!L$12*WorkingData!$P10),"")</f>
        <v>-334.02814991087519</v>
      </c>
      <c r="Z10">
        <f>IF(AND($N10&gt;0,$N10&lt;&gt;""),$N10-('DDD Model Calculations'!M$13+'DDD Model Calculations'!M$12*WorkingData!$P10),"")</f>
        <v>-273.27322065253873</v>
      </c>
      <c r="AA10">
        <f>IF(AND($N10&gt;0,$N10&lt;&gt;""),$N10-('DDD Model Calculations'!N$13+'DDD Model Calculations'!N$12*WorkingData!$P10),"")</f>
        <v>-235.40881239449303</v>
      </c>
      <c r="AB10">
        <f>IF(X10&lt;&gt;"",X10/'DDD Model Calculations'!K$11,"")</f>
        <v>-1.6862124783862282</v>
      </c>
      <c r="AC10">
        <f>IF(Y10&lt;&gt;"",Y10/'DDD Model Calculations'!L$11,"")</f>
        <v>-1.9003043436290004</v>
      </c>
      <c r="AD10">
        <f>IF(Z10&lt;&gt;"",Z10/'DDD Model Calculations'!M$11,"")</f>
        <v>-1.7806895148506938</v>
      </c>
      <c r="AE10">
        <f>IF(AA10&lt;&gt;"",AA10/'DDD Model Calculations'!N$11,"")</f>
        <v>-1.5633595220935677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 x14ac:dyDescent="0.4">
      <c r="A11" s="2">
        <v>45479</v>
      </c>
      <c r="B11" s="1">
        <v>31</v>
      </c>
      <c r="C11" s="1">
        <v>1080497</v>
      </c>
      <c r="D11" t="str">
        <v>A</v>
      </c>
      <c r="E11">
        <v>6028</v>
      </c>
      <c r="F11">
        <v>1137453</v>
      </c>
      <c r="G11">
        <f t="shared" si="12"/>
        <v>6028</v>
      </c>
      <c r="H11" s="2">
        <f t="shared" si="13"/>
        <v>45479</v>
      </c>
      <c r="I11">
        <f t="shared" si="14"/>
        <v>31</v>
      </c>
      <c r="J11">
        <f t="shared" si="15"/>
        <v>303</v>
      </c>
      <c r="K11">
        <f>IF(AND($H12&gt;0,$H12&lt;&gt;""),VLOOKUP($H12,'Weather Data'!$L$2:$P$4170,'DDD Model Calculations'!$D$22,FALSE),"")</f>
        <v>38206.200002670288</v>
      </c>
      <c r="L11">
        <f>IF(AND($K11&gt;0,$K11&lt;&gt;""),VLOOKUP($H11,'Weather Data'!$L$2:$P$4170,'DDD Model Calculations'!$D$22,FALSE),"")</f>
        <v>38225.200000762939</v>
      </c>
      <c r="M11">
        <f t="shared" si="16"/>
        <v>18.999998092651367</v>
      </c>
      <c r="N11">
        <f t="shared" si="0"/>
        <v>194.45161290322579</v>
      </c>
      <c r="O11">
        <f t="shared" si="1"/>
        <v>0.61290316427907632</v>
      </c>
      <c r="P11">
        <f t="shared" si="17"/>
        <v>-4.3870968357209232</v>
      </c>
      <c r="Q11">
        <f t="shared" si="2"/>
        <v>0</v>
      </c>
      <c r="R11">
        <f t="shared" si="3"/>
        <v>1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1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-374.17140296501958</v>
      </c>
      <c r="Y11">
        <f>IF(AND($N11&gt;0,$N11&lt;&gt;""),$N11-('DDD Model Calculations'!L$13+'DDD Model Calculations'!L$12*WorkingData!$P11),"")</f>
        <v>-332.53002449654565</v>
      </c>
      <c r="Z11">
        <f>IF(AND($N11&gt;0,$N11&lt;&gt;""),$N11-('DDD Model Calculations'!M$13+'DDD Model Calculations'!M$12*WorkingData!$P11),"")</f>
        <v>-272.67221834655874</v>
      </c>
      <c r="AA11">
        <f>IF(AND($N11&gt;0,$N11&lt;&gt;""),$N11-('DDD Model Calculations'!N$13+'DDD Model Calculations'!N$12*WorkingData!$P11),"")</f>
        <v>-235.74356086451718</v>
      </c>
      <c r="AB11">
        <f>IF(X11&lt;&gt;"",X11/'DDD Model Calculations'!K$11,"")</f>
        <v>-1.6722992302401622</v>
      </c>
      <c r="AC11">
        <f>IF(Y11&lt;&gt;"",Y11/'DDD Model Calculations'!L$11,"")</f>
        <v>-1.8917814265248252</v>
      </c>
      <c r="AD11">
        <f>IF(Z11&lt;&gt;"",Z11/'DDD Model Calculations'!M$11,"")</f>
        <v>-1.7767732931949305</v>
      </c>
      <c r="AE11">
        <f>IF(AA11&lt;&gt;"",AA11/'DDD Model Calculations'!N$11,"")</f>
        <v>-1.5655826003326334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 x14ac:dyDescent="0.4">
      <c r="A12" s="2">
        <v>45448</v>
      </c>
      <c r="B12" s="1">
        <v>33</v>
      </c>
      <c r="C12" s="1">
        <v>1074469</v>
      </c>
      <c r="D12" t="str">
        <v>A</v>
      </c>
      <c r="E12">
        <v>13235</v>
      </c>
      <c r="F12">
        <v>1131425</v>
      </c>
      <c r="G12">
        <f t="shared" si="12"/>
        <v>13235</v>
      </c>
      <c r="H12" s="2">
        <f t="shared" si="13"/>
        <v>45448</v>
      </c>
      <c r="I12">
        <f t="shared" si="14"/>
        <v>33</v>
      </c>
      <c r="J12">
        <f t="shared" si="15"/>
        <v>336</v>
      </c>
      <c r="K12">
        <f>IF(AND($H13&gt;0,$H13&lt;&gt;""),VLOOKUP($H13,'Weather Data'!$L$2:$P$4170,'DDD Model Calculations'!$D$22,FALSE),"")</f>
        <v>38146.900000572205</v>
      </c>
      <c r="L12">
        <f>IF(AND($K12&gt;0,$K12&lt;&gt;""),VLOOKUP($H12,'Weather Data'!$L$2:$P$4170,'DDD Model Calculations'!$D$22,FALSE),"")</f>
        <v>38206.200002670288</v>
      </c>
      <c r="M12">
        <f t="shared" si="16"/>
        <v>59.300002098083496</v>
      </c>
      <c r="N12">
        <f t="shared" si="0"/>
        <v>401.06060606060606</v>
      </c>
      <c r="O12">
        <f t="shared" si="1"/>
        <v>1.7969697605479846</v>
      </c>
      <c r="P12">
        <f t="shared" si="17"/>
        <v>-3.2030302394520156</v>
      </c>
      <c r="Q12">
        <f t="shared" si="2"/>
        <v>0</v>
      </c>
      <c r="R12">
        <f t="shared" si="3"/>
        <v>1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1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-211.96019002520831</v>
      </c>
      <c r="Y12">
        <f>IF(AND($N12&gt;0,$N12&lt;&gt;""),$N12-('DDD Model Calculations'!L$13+'DDD Model Calculations'!L$12*WorkingData!$P12),"")</f>
        <v>-173.43866832678617</v>
      </c>
      <c r="Z12">
        <f>IF(AND($N12&gt;0,$N12&lt;&gt;""),$N12-('DDD Model Calculations'!M$13+'DDD Model Calculations'!M$12*WorkingData!$P12),"")</f>
        <v>-115.31401280686163</v>
      </c>
      <c r="AA12">
        <f>IF(AND($N12&gt;0,$N12&lt;&gt;""),$N12-('DDD Model Calculations'!N$13+'DDD Model Calculations'!N$12*WorkingData!$P12),"")</f>
        <v>-80.193130681311402</v>
      </c>
      <c r="AB12">
        <f>IF(X12&lt;&gt;"",X12/'DDD Model Calculations'!K$11,"")</f>
        <v>-0.94732216254872925</v>
      </c>
      <c r="AC12">
        <f>IF(Y12&lt;&gt;"",Y12/'DDD Model Calculations'!L$11,"")</f>
        <v>-0.98670203353388308</v>
      </c>
      <c r="AD12">
        <f>IF(Z12&lt;&gt;"",Z12/'DDD Model Calculations'!M$11,"")</f>
        <v>-0.75140349658198213</v>
      </c>
      <c r="AE12">
        <f>IF(AA12&lt;&gt;"",AA12/'DDD Model Calculations'!N$11,"")</f>
        <v>-0.53256585079333607</v>
      </c>
      <c r="AF12">
        <f t="shared" si="8"/>
        <v>1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 x14ac:dyDescent="0.4">
      <c r="A13" s="2">
        <v>45415</v>
      </c>
      <c r="B13" s="1">
        <v>28</v>
      </c>
      <c r="C13" s="1">
        <v>1061234</v>
      </c>
      <c r="D13" t="str">
        <v>A</v>
      </c>
      <c r="E13">
        <v>29725</v>
      </c>
      <c r="F13">
        <v>1118190</v>
      </c>
      <c r="G13">
        <f t="shared" si="12"/>
        <v>29725</v>
      </c>
      <c r="H13" s="2">
        <f t="shared" si="13"/>
        <v>45415</v>
      </c>
      <c r="I13">
        <f t="shared" si="14"/>
        <v>28</v>
      </c>
      <c r="J13">
        <f t="shared" si="15"/>
        <v>364</v>
      </c>
      <c r="K13">
        <f>IF(AND($H14&gt;0,$H14&lt;&gt;""),VLOOKUP($H14,'Weather Data'!$L$2:$P$4170,'DDD Model Calculations'!$D$22,FALSE),"")</f>
        <v>37917.600002527237</v>
      </c>
      <c r="L13">
        <f>IF(AND($K13&gt;0,$K13&lt;&gt;""),VLOOKUP($H13,'Weather Data'!$L$2:$P$4170,'DDD Model Calculations'!$D$22,FALSE),"")</f>
        <v>38146.900000572205</v>
      </c>
      <c r="M13">
        <f t="shared" si="16"/>
        <v>229.29999804496765</v>
      </c>
      <c r="N13">
        <f t="shared" si="0"/>
        <v>1061.6071428571429</v>
      </c>
      <c r="O13">
        <f t="shared" si="1"/>
        <v>8.1892856444631299</v>
      </c>
      <c r="P13">
        <f t="shared" si="17"/>
        <v>3.1892856444631299</v>
      </c>
      <c r="Q13">
        <f t="shared" si="2"/>
        <v>1</v>
      </c>
      <c r="R13">
        <f t="shared" si="3"/>
        <v>1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1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208.899967145696</v>
      </c>
      <c r="Y13">
        <f>IF(AND($N13&gt;0,$N13&lt;&gt;""),$N13-('DDD Model Calculations'!L$13+'DDD Model Calculations'!L$12*WorkingData!$P13),"")</f>
        <v>230.5785933097078</v>
      </c>
      <c r="Z13">
        <f>IF(AND($N13&gt;0,$N13&lt;&gt;""),$N13-('DDD Model Calculations'!M$13+'DDD Model Calculations'!M$12*WorkingData!$P13),"")</f>
        <v>279.34664140849929</v>
      </c>
      <c r="AA13">
        <f>IF(AND($N13&gt;0,$N13&lt;&gt;""),$N13-('DDD Model Calculations'!N$13+'DDD Model Calculations'!N$12*WorkingData!$P13),"")</f>
        <v>304.70804618517093</v>
      </c>
      <c r="AB13">
        <f>IF(X13&lt;&gt;"",X13/'DDD Model Calculations'!K$11,"")</f>
        <v>0.93364498592534573</v>
      </c>
      <c r="AC13">
        <f>IF(Y13&lt;&gt;"",Y13/'DDD Model Calculations'!L$11,"")</f>
        <v>1.3117741799043408</v>
      </c>
      <c r="AD13">
        <f>IF(Z13&lt;&gt;"",Z13/'DDD Model Calculations'!M$11,"")</f>
        <v>1.8202648403567612</v>
      </c>
      <c r="AE13">
        <f>IF(AA13&lt;&gt;"",AA13/'DDD Model Calculations'!N$11,"")</f>
        <v>2.0235785594288882</v>
      </c>
      <c r="AF13">
        <f t="shared" si="8"/>
        <v>1</v>
      </c>
      <c r="AG13">
        <f t="shared" si="9"/>
        <v>1</v>
      </c>
      <c r="AH13">
        <f t="shared" si="10"/>
        <v>1</v>
      </c>
      <c r="AI13">
        <f t="shared" si="11"/>
        <v>0</v>
      </c>
    </row>
    <row r="14" spans="1:35" x14ac:dyDescent="0.4">
      <c r="A14" s="2">
        <v>45387</v>
      </c>
      <c r="B14" s="1">
        <v>32</v>
      </c>
      <c r="C14" s="1">
        <v>1031509</v>
      </c>
      <c r="D14" t="str">
        <v>A</v>
      </c>
      <c r="E14">
        <v>37501</v>
      </c>
      <c r="F14">
        <v>1088465</v>
      </c>
      <c r="G14">
        <f t="shared" si="12"/>
        <v>37501</v>
      </c>
      <c r="H14" s="2">
        <f t="shared" si="13"/>
        <v>45387</v>
      </c>
      <c r="I14">
        <f t="shared" si="14"/>
        <v>32</v>
      </c>
      <c r="J14">
        <f t="shared" si="15"/>
        <v>396</v>
      </c>
      <c r="K14">
        <f>IF(AND($H15&gt;0,$H15&lt;&gt;""),VLOOKUP($H15,'Weather Data'!$L$2:$P$4170,'DDD Model Calculations'!$D$22,FALSE),"")</f>
        <v>37452.800002463162</v>
      </c>
      <c r="L14">
        <f>IF(AND($K14&gt;0,$K14&lt;&gt;""),VLOOKUP($H14,'Weather Data'!$L$2:$P$4170,'DDD Model Calculations'!$D$22,FALSE),"")</f>
        <v>37917.600002527237</v>
      </c>
      <c r="M14">
        <f t="shared" si="16"/>
        <v>464.80000006407499</v>
      </c>
      <c r="N14">
        <f t="shared" si="0"/>
        <v>1171.90625</v>
      </c>
      <c r="O14">
        <f t="shared" si="1"/>
        <v>14.525000002002344</v>
      </c>
      <c r="P14">
        <f t="shared" si="17"/>
        <v>9.5250000020023435</v>
      </c>
      <c r="Q14">
        <f t="shared" si="2"/>
        <v>1</v>
      </c>
      <c r="R14">
        <f t="shared" si="3"/>
        <v>2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1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81.635026410084265</v>
      </c>
      <c r="Y14">
        <f>IF(AND($N14&gt;0,$N14&lt;&gt;""),$N14-('DDD Model Calculations'!L$13+'DDD Model Calculations'!L$12*WorkingData!$P14),"")</f>
        <v>86.619894474873718</v>
      </c>
      <c r="Z14">
        <f>IF(AND($N14&gt;0,$N14&lt;&gt;""),$N14-('DDD Model Calculations'!M$13+'DDD Model Calculations'!M$12*WorkingData!$P14),"")</f>
        <v>126.11418435325277</v>
      </c>
      <c r="AA14">
        <f>IF(AND($N14&gt;0,$N14&lt;&gt;""),$N14-('DDD Model Calculations'!N$13+'DDD Model Calculations'!N$12*WorkingData!$P14),"")</f>
        <v>141.80252824177933</v>
      </c>
      <c r="AB14">
        <f>IF(X14&lt;&gt;"",X14/'DDD Model Calculations'!K$11,"")</f>
        <v>0.36485469157829253</v>
      </c>
      <c r="AC14">
        <f>IF(Y14&lt;&gt;"",Y14/'DDD Model Calculations'!L$11,"")</f>
        <v>0.49278529896120304</v>
      </c>
      <c r="AD14">
        <f>IF(Z14&lt;&gt;"",Z14/'DDD Model Calculations'!M$11,"")</f>
        <v>0.82177904302346927</v>
      </c>
      <c r="AE14">
        <f>IF(AA14&lt;&gt;"",AA14/'DDD Model Calculations'!N$11,"")</f>
        <v>0.94171637216463766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4">
      <c r="A15" s="2">
        <v>45355</v>
      </c>
      <c r="B15" s="1">
        <v>28</v>
      </c>
      <c r="C15" s="1">
        <v>994008</v>
      </c>
      <c r="D15" t="str">
        <v>A</v>
      </c>
      <c r="E15">
        <v>39923</v>
      </c>
      <c r="F15">
        <v>1050964</v>
      </c>
      <c r="G15">
        <f t="shared" si="12"/>
        <v>39923</v>
      </c>
      <c r="H15" s="2">
        <f t="shared" si="13"/>
        <v>45355</v>
      </c>
      <c r="I15">
        <f t="shared" si="14"/>
        <v>28</v>
      </c>
      <c r="J15">
        <f t="shared" si="15"/>
        <v>424</v>
      </c>
      <c r="K15">
        <f>IF(AND($H16&gt;0,$H16&lt;&gt;""),VLOOKUP($H16,'Weather Data'!$L$2:$P$4170,'DDD Model Calculations'!$D$22,FALSE),"")</f>
        <v>36976.700002573431</v>
      </c>
      <c r="L15">
        <f>IF(AND($K15&gt;0,$K15&lt;&gt;""),VLOOKUP($H15,'Weather Data'!$L$2:$P$4170,'DDD Model Calculations'!$D$22,FALSE),"")</f>
        <v>37452.800002463162</v>
      </c>
      <c r="M15">
        <f t="shared" si="16"/>
        <v>476.09999988973141</v>
      </c>
      <c r="N15">
        <f t="shared" si="0"/>
        <v>1425.8214285714287</v>
      </c>
      <c r="O15">
        <f t="shared" si="1"/>
        <v>17.003571424633265</v>
      </c>
      <c r="P15">
        <f t="shared" si="17"/>
        <v>12.003571424633265</v>
      </c>
      <c r="Q15">
        <f t="shared" si="2"/>
        <v>1</v>
      </c>
      <c r="R15">
        <f t="shared" si="3"/>
        <v>2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1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242.613650887115</v>
      </c>
      <c r="Y15">
        <f>IF(AND($N15&gt;0,$N15&lt;&gt;""),$N15-('DDD Model Calculations'!L$13+'DDD Model Calculations'!L$12*WorkingData!$P15),"")</f>
        <v>241.06781547853689</v>
      </c>
      <c r="Z15">
        <f>IF(AND($N15&gt;0,$N15&lt;&gt;""),$N15-('DDD Model Calculations'!M$13+'DDD Model Calculations'!M$12*WorkingData!$P15),"")</f>
        <v>276.93415264182067</v>
      </c>
      <c r="AA15">
        <f>IF(AND($N15&gt;0,$N15&lt;&gt;""),$N15-('DDD Model Calculations'!N$13+'DDD Model Calculations'!N$12*WorkingData!$P15),"")</f>
        <v>288.83833409281601</v>
      </c>
      <c r="AB15">
        <f>IF(X15&lt;&gt;"",X15/'DDD Model Calculations'!K$11,"")</f>
        <v>1.0843229023095811</v>
      </c>
      <c r="AC15">
        <f>IF(Y15&lt;&gt;"",Y15/'DDD Model Calculations'!L$11,"")</f>
        <v>1.3714479363049135</v>
      </c>
      <c r="AD15">
        <f>IF(Z15&lt;&gt;"",Z15/'DDD Model Calculations'!M$11,"")</f>
        <v>1.8045446997543937</v>
      </c>
      <c r="AE15">
        <f>IF(AA15&lt;&gt;"",AA15/'DDD Model Calculations'!N$11,"")</f>
        <v>1.9181871543234144</v>
      </c>
      <c r="AF15">
        <f t="shared" si="8"/>
        <v>1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 x14ac:dyDescent="0.4">
      <c r="A16" s="2">
        <v>45327</v>
      </c>
      <c r="B16" s="1">
        <v>32</v>
      </c>
      <c r="C16" s="1">
        <v>954085</v>
      </c>
      <c r="D16" t="str">
        <v>A</v>
      </c>
      <c r="E16">
        <v>36223</v>
      </c>
      <c r="F16">
        <v>1011041</v>
      </c>
      <c r="G16">
        <f t="shared" si="12"/>
        <v>36223</v>
      </c>
      <c r="H16" s="2">
        <f t="shared" si="13"/>
        <v>45327</v>
      </c>
      <c r="I16">
        <f t="shared" si="14"/>
        <v>32</v>
      </c>
      <c r="J16">
        <f t="shared" si="15"/>
        <v>456</v>
      </c>
      <c r="K16">
        <f>IF(AND($H17&gt;0,$H17&lt;&gt;""),VLOOKUP($H17,'Weather Data'!$L$2:$P$4170,'DDD Model Calculations'!$D$22,FALSE),"")</f>
        <v>36342.000002294779</v>
      </c>
      <c r="L16">
        <f>IF(AND($K16&gt;0,$K16&lt;&gt;""),VLOOKUP($H16,'Weather Data'!$L$2:$P$4170,'DDD Model Calculations'!$D$22,FALSE),"")</f>
        <v>36976.700002573431</v>
      </c>
      <c r="M16">
        <f t="shared" si="16"/>
        <v>634.70000027865171</v>
      </c>
      <c r="N16">
        <f t="shared" si="0"/>
        <v>1131.96875</v>
      </c>
      <c r="O16">
        <f t="shared" si="1"/>
        <v>19.834375008707866</v>
      </c>
      <c r="P16">
        <f t="shared" si="17"/>
        <v>14.834375008707866</v>
      </c>
      <c r="Q16">
        <f t="shared" si="2"/>
        <v>1</v>
      </c>
      <c r="R16">
        <f t="shared" si="3"/>
        <v>2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1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-157.38288459310843</v>
      </c>
      <c r="Y16">
        <f>IF(AND($N16&gt;0,$N16&lt;&gt;""),$N16-('DDD Model Calculations'!L$13+'DDD Model Calculations'!L$12*WorkingData!$P16),"")</f>
        <v>-166.38750800760749</v>
      </c>
      <c r="Z16">
        <f>IF(AND($N16&gt;0,$N16&lt;&gt;""),$N16-('DDD Model Calculations'!M$13+'DDD Model Calculations'!M$12*WorkingData!$P16),"")</f>
        <v>-134.66469539841682</v>
      </c>
      <c r="AA16">
        <f>IF(AND($N16&gt;0,$N16&lt;&gt;""),$N16-('DDD Model Calculations'!N$13+'DDD Model Calculations'!N$12*WorkingData!$P16),"")</f>
        <v>-127.08244733738707</v>
      </c>
      <c r="AB16">
        <f>IF(X16&lt;&gt;"",X16/'DDD Model Calculations'!K$11,"")</f>
        <v>-0.70339762652207993</v>
      </c>
      <c r="AC16">
        <f>IF(Y16&lt;&gt;"",Y16/'DDD Model Calculations'!L$11,"")</f>
        <v>-0.94658759831117845</v>
      </c>
      <c r="AD16">
        <f>IF(Z16&lt;&gt;"",Z16/'DDD Model Calculations'!M$11,"")</f>
        <v>-0.87749546239446208</v>
      </c>
      <c r="AE16">
        <f>IF(AA16&lt;&gt;"",AA16/'DDD Model Calculations'!N$11,"")</f>
        <v>-0.84395971465555086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 x14ac:dyDescent="0.4">
      <c r="A17" s="2">
        <v>45295</v>
      </c>
      <c r="B17" s="1">
        <v>28</v>
      </c>
      <c r="C17" s="1">
        <v>917862</v>
      </c>
      <c r="D17" t="str">
        <v>A</v>
      </c>
      <c r="E17">
        <v>29880</v>
      </c>
      <c r="F17">
        <v>974818</v>
      </c>
      <c r="G17">
        <f t="shared" si="12"/>
        <v>29880</v>
      </c>
      <c r="H17" s="2">
        <f t="shared" si="13"/>
        <v>45295</v>
      </c>
      <c r="I17">
        <f t="shared" si="14"/>
        <v>28</v>
      </c>
      <c r="J17">
        <f t="shared" si="15"/>
        <v>484</v>
      </c>
      <c r="K17">
        <f>IF(AND($H18&gt;0,$H18&lt;&gt;""),VLOOKUP($H18,'Weather Data'!$L$2:$P$4170,'DDD Model Calculations'!$D$22,FALSE),"")</f>
        <v>35905.300003059208</v>
      </c>
      <c r="L17">
        <f>IF(AND($K17&gt;0,$K17&lt;&gt;""),VLOOKUP($H17,'Weather Data'!$L$2:$P$4170,'DDD Model Calculations'!$D$22,FALSE),"")</f>
        <v>36342.000002294779</v>
      </c>
      <c r="M17">
        <f t="shared" si="16"/>
        <v>436.69999923557043</v>
      </c>
      <c r="N17">
        <f t="shared" si="0"/>
        <v>1067.1428571428571</v>
      </c>
      <c r="O17">
        <f t="shared" si="1"/>
        <v>15.596428544127516</v>
      </c>
      <c r="P17">
        <f t="shared" si="17"/>
        <v>10.596428544127516</v>
      </c>
      <c r="Q17">
        <f t="shared" si="2"/>
        <v>1</v>
      </c>
      <c r="R17">
        <f t="shared" si="3"/>
        <v>2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4"/>
        <v>0</v>
      </c>
      <c r="U17">
        <f t="shared" si="5"/>
        <v>1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-63.30266836723581</v>
      </c>
      <c r="Y17">
        <f>IF(AND($N17&gt;0,$N17&lt;&gt;""),$N17-('DDD Model Calculations'!L$13+'DDD Model Calculations'!L$12*WorkingData!$P17),"")</f>
        <v>-61.140870897723062</v>
      </c>
      <c r="Z17">
        <f>IF(AND($N17&gt;0,$N17&lt;&gt;""),$N17-('DDD Model Calculations'!M$13+'DDD Model Calculations'!M$12*WorkingData!$P17),"")</f>
        <v>-23.214860251865503</v>
      </c>
      <c r="AA17">
        <f>IF(AND($N17&gt;0,$N17&lt;&gt;""),$N17-('DDD Model Calculations'!N$13+'DDD Model Calculations'!N$12*WorkingData!$P17),"")</f>
        <v>-9.1623214107905824</v>
      </c>
      <c r="AB17">
        <f>IF(X17&lt;&gt;"",X17/'DDD Model Calculations'!K$11,"")</f>
        <v>-0.28292114988962269</v>
      </c>
      <c r="AC17">
        <f>IF(Y17&lt;&gt;"",Y17/'DDD Model Calculations'!L$11,"")</f>
        <v>-0.34783374566246494</v>
      </c>
      <c r="AD17">
        <f>IF(Z17&lt;&gt;"",Z17/'DDD Model Calculations'!M$11,"")</f>
        <v>-0.15127153015765873</v>
      </c>
      <c r="AE17">
        <f>IF(AA17&lt;&gt;"",AA17/'DDD Model Calculations'!N$11,"")</f>
        <v>-6.0847350090010112E-2</v>
      </c>
      <c r="AF17">
        <f t="shared" si="8"/>
        <v>1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 x14ac:dyDescent="0.4">
      <c r="A18" s="2">
        <v>45267</v>
      </c>
      <c r="B18" s="1">
        <v>34</v>
      </c>
      <c r="C18" s="1">
        <v>887982</v>
      </c>
      <c r="D18" t="str">
        <v>A</v>
      </c>
      <c r="E18">
        <v>37770</v>
      </c>
      <c r="F18">
        <v>944938</v>
      </c>
      <c r="G18">
        <f t="shared" si="12"/>
        <v>37770</v>
      </c>
      <c r="H18" s="2">
        <f t="shared" si="13"/>
        <v>45267</v>
      </c>
      <c r="I18">
        <f t="shared" si="14"/>
        <v>34</v>
      </c>
      <c r="J18">
        <f t="shared" si="15"/>
        <v>518</v>
      </c>
      <c r="K18">
        <f>IF(AND($H19&gt;0,$H19&lt;&gt;""),VLOOKUP($H19,'Weather Data'!$L$2:$P$4170,'DDD Model Calculations'!$D$22,FALSE),"")</f>
        <v>35404.300002701581</v>
      </c>
      <c r="L18">
        <f>IF(AND($K18&gt;0,$K18&lt;&gt;""),VLOOKUP($H18,'Weather Data'!$L$2:$P$4170,'DDD Model Calculations'!$D$22,FALSE),"")</f>
        <v>35905.300003059208</v>
      </c>
      <c r="M18">
        <f t="shared" si="16"/>
        <v>501.00000035762787</v>
      </c>
      <c r="N18">
        <f t="shared" si="0"/>
        <v>1110.8823529411766</v>
      </c>
      <c r="O18">
        <f t="shared" si="1"/>
        <v>14.735294128165526</v>
      </c>
      <c r="P18">
        <f t="shared" si="17"/>
        <v>9.7352941281655259</v>
      </c>
      <c r="Q18">
        <f t="shared" si="2"/>
        <v>1</v>
      </c>
      <c r="R18">
        <f t="shared" si="3"/>
        <v>2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4"/>
        <v>0</v>
      </c>
      <c r="U18">
        <f t="shared" si="5"/>
        <v>1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12.725937400183966</v>
      </c>
      <c r="Y18">
        <f>IF(AND($N18&gt;0,$N18&lt;&gt;""),$N18-('DDD Model Calculations'!L$13+'DDD Model Calculations'!L$12*WorkingData!$P18),"")</f>
        <v>17.156708630150206</v>
      </c>
      <c r="Z18">
        <f>IF(AND($N18&gt;0,$N18&lt;&gt;""),$N18-('DDD Model Calculations'!M$13+'DDD Model Calculations'!M$12*WorkingData!$P18),"")</f>
        <v>56.343185250046645</v>
      </c>
      <c r="AA18">
        <f>IF(AND($N18&gt;0,$N18&lt;&gt;""),$N18-('DDD Model Calculations'!N$13+'DDD Model Calculations'!N$12*WorkingData!$P18),"")</f>
        <v>71.710462282966546</v>
      </c>
      <c r="AB18">
        <f>IF(X18&lt;&gt;"",X18/'DDD Model Calculations'!K$11,"")</f>
        <v>5.6876541472095615E-2</v>
      </c>
      <c r="AC18">
        <f>IF(Y18&lt;&gt;"",Y18/'DDD Model Calculations'!L$11,"")</f>
        <v>9.760545014230286E-2</v>
      </c>
      <c r="AD18">
        <f>IF(Z18&lt;&gt;"",Z18/'DDD Model Calculations'!M$11,"")</f>
        <v>0.36714069153382395</v>
      </c>
      <c r="AE18">
        <f>IF(AA18&lt;&gt;"",AA18/'DDD Model Calculations'!N$11,"")</f>
        <v>0.47623210407237071</v>
      </c>
      <c r="AF18">
        <f t="shared" si="8"/>
        <v>1</v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 x14ac:dyDescent="0.4">
      <c r="A19" s="2">
        <v>45233</v>
      </c>
      <c r="B19" s="1">
        <v>32</v>
      </c>
      <c r="C19" s="1">
        <v>850212</v>
      </c>
      <c r="D19" t="str">
        <v>A</v>
      </c>
      <c r="E19">
        <v>20424</v>
      </c>
      <c r="F19">
        <v>907168</v>
      </c>
      <c r="G19">
        <f t="shared" si="12"/>
        <v>20424</v>
      </c>
      <c r="H19" s="2">
        <f t="shared" si="13"/>
        <v>45233</v>
      </c>
      <c r="I19">
        <f t="shared" si="14"/>
        <v>32</v>
      </c>
      <c r="J19">
        <f t="shared" si="15"/>
        <v>550</v>
      </c>
      <c r="K19">
        <f>IF(AND($H20&gt;0,$H20&lt;&gt;""),VLOOKUP($H20,'Weather Data'!$L$2:$P$4170,'DDD Model Calculations'!$D$22,FALSE),"")</f>
        <v>35180.100003965199</v>
      </c>
      <c r="L19">
        <f>IF(AND($K19&gt;0,$K19&lt;&gt;""),VLOOKUP($H19,'Weather Data'!$L$2:$P$4170,'DDD Model Calculations'!$D$22,FALSE),"")</f>
        <v>35404.300002701581</v>
      </c>
      <c r="M19">
        <f t="shared" si="16"/>
        <v>224.19999873638153</v>
      </c>
      <c r="N19">
        <f t="shared" si="0"/>
        <v>638.25</v>
      </c>
      <c r="O19">
        <f t="shared" si="1"/>
        <v>7.0062499605119228</v>
      </c>
      <c r="P19">
        <f t="shared" si="17"/>
        <v>2.0062499605119228</v>
      </c>
      <c r="Q19">
        <f t="shared" si="2"/>
        <v>1</v>
      </c>
      <c r="R19">
        <f t="shared" si="3"/>
        <v>2</v>
      </c>
      <c r="S19">
        <f>IF('DDD Model Calculations'!$D$23=1,WorkingData!AF19,IF('DDD Model Calculations'!$D$23=2,WorkingData!AG19,IF('DDD Model Calculations'!$D$23=4,WorkingData!AH19,WorkingData!AI19)))</f>
        <v>1</v>
      </c>
      <c r="T19">
        <f t="shared" si="4"/>
        <v>0</v>
      </c>
      <c r="U19">
        <f t="shared" si="5"/>
        <v>1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-170.09805059879272</v>
      </c>
      <c r="Y19">
        <f>IF(AND($N19&gt;0,$N19&lt;&gt;""),$N19-('DDD Model Calculations'!L$13+'DDD Model Calculations'!L$12*WorkingData!$P19),"")</f>
        <v>-145.30228398050372</v>
      </c>
      <c r="Z19">
        <f>IF(AND($N19&gt;0,$N19&lt;&gt;""),$N19-('DDD Model Calculations'!M$13+'DDD Model Calculations'!M$12*WorkingData!$P19),"")</f>
        <v>-94.802594226177689</v>
      </c>
      <c r="AA19">
        <f>IF(AND($N19&gt;0,$N19&lt;&gt;""),$N19-('DDD Model Calculations'!N$13+'DDD Model Calculations'!N$12*WorkingData!$P19),"")</f>
        <v>-67.634988039858968</v>
      </c>
      <c r="AB19">
        <f>IF(X19&lt;&gt;"",X19/'DDD Model Calculations'!K$11,"")</f>
        <v>-0.76022602696953367</v>
      </c>
      <c r="AC19">
        <f>IF(Y19&lt;&gt;"",Y19/'DDD Model Calculations'!L$11,"")</f>
        <v>-0.82663261003912158</v>
      </c>
      <c r="AD19">
        <f>IF(Z19&lt;&gt;"",Z19/'DDD Model Calculations'!M$11,"")</f>
        <v>-0.61774800002757335</v>
      </c>
      <c r="AE19">
        <f>IF(AA19&lt;&gt;"",AA19/'DDD Model Calculations'!N$11,"")</f>
        <v>-0.44916671344318643</v>
      </c>
      <c r="AF19">
        <f t="shared" si="8"/>
        <v>1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 x14ac:dyDescent="0.4">
      <c r="A20" s="2">
        <v>45201</v>
      </c>
      <c r="B20" s="1">
        <v>31</v>
      </c>
      <c r="C20" s="1">
        <v>829788</v>
      </c>
      <c r="D20" t="str">
        <v>A</v>
      </c>
      <c r="E20">
        <v>8450</v>
      </c>
      <c r="F20">
        <v>886744</v>
      </c>
      <c r="G20">
        <f t="shared" si="12"/>
        <v>8450</v>
      </c>
      <c r="H20" s="2">
        <f t="shared" si="13"/>
        <v>45201</v>
      </c>
      <c r="I20">
        <f t="shared" si="14"/>
        <v>31</v>
      </c>
      <c r="J20">
        <f t="shared" si="15"/>
        <v>581</v>
      </c>
      <c r="K20">
        <f>IF(AND($H21&gt;0,$H21&lt;&gt;""),VLOOKUP($H21,'Weather Data'!$L$2:$P$4170,'DDD Model Calculations'!$D$22,FALSE),"")</f>
        <v>35154.300003774464</v>
      </c>
      <c r="L20">
        <f>IF(AND($K20&gt;0,$K20&lt;&gt;""),VLOOKUP($H20,'Weather Data'!$L$2:$P$4170,'DDD Model Calculations'!$D$22,FALSE),"")</f>
        <v>35180.100003965199</v>
      </c>
      <c r="M20">
        <f t="shared" si="16"/>
        <v>25.800000190734863</v>
      </c>
      <c r="N20">
        <f t="shared" si="0"/>
        <v>272.58064516129031</v>
      </c>
      <c r="O20">
        <f t="shared" si="1"/>
        <v>0.83225807066886659</v>
      </c>
      <c r="P20">
        <f t="shared" si="17"/>
        <v>-4.1677419293311333</v>
      </c>
      <c r="Q20">
        <f t="shared" si="2"/>
        <v>0</v>
      </c>
      <c r="R20">
        <f t="shared" si="3"/>
        <v>2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1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-304.26730581974965</v>
      </c>
      <c r="Y20">
        <f>IF(AND($N20&gt;0,$N20&lt;&gt;""),$N20-('DDD Model Calculations'!L$13+'DDD Model Calculations'!L$12*WorkingData!$P20),"")</f>
        <v>-263.20389812749789</v>
      </c>
      <c r="Z20">
        <f>IF(AND($N20&gt;0,$N20&lt;&gt;""),$N20-('DDD Model Calculations'!M$13+'DDD Model Calculations'!M$12*WorkingData!$P20),"")</f>
        <v>-203.66716774758561</v>
      </c>
      <c r="AA20">
        <f>IF(AND($N20&gt;0,$N20&lt;&gt;""),$N20-('DDD Model Calculations'!N$13+'DDD Model Calculations'!N$12*WorkingData!$P20),"")</f>
        <v>-167.07341068022214</v>
      </c>
      <c r="AB20">
        <f>IF(X20&lt;&gt;"",X20/'DDD Model Calculations'!K$11,"")</f>
        <v>-1.3598740504420224</v>
      </c>
      <c r="AC20">
        <f>IF(Y20&lt;&gt;"",Y20/'DDD Model Calculations'!L$11,"")</f>
        <v>-1.4973813165304273</v>
      </c>
      <c r="AD20">
        <f>IF(Z20&lt;&gt;"",Z20/'DDD Model Calculations'!M$11,"")</f>
        <v>-1.3271259776624362</v>
      </c>
      <c r="AE20">
        <f>IF(AA20&lt;&gt;"",AA20/'DDD Model Calculations'!N$11,"")</f>
        <v>-1.1095413328786865</v>
      </c>
      <c r="AF20">
        <f t="shared" si="8"/>
        <v>1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 x14ac:dyDescent="0.4">
      <c r="A21" s="2">
        <v>45170</v>
      </c>
      <c r="B21" s="1">
        <v>31</v>
      </c>
      <c r="C21" s="1">
        <v>821338</v>
      </c>
      <c r="D21" t="str">
        <v>A</v>
      </c>
      <c r="E21">
        <v>5419</v>
      </c>
      <c r="F21">
        <v>878294</v>
      </c>
      <c r="G21">
        <f t="shared" si="12"/>
        <v>5419</v>
      </c>
      <c r="H21" s="2">
        <f t="shared" si="13"/>
        <v>45170</v>
      </c>
      <c r="I21">
        <f t="shared" si="14"/>
        <v>31</v>
      </c>
      <c r="J21">
        <f t="shared" si="15"/>
        <v>612</v>
      </c>
      <c r="K21">
        <f>IF(AND($H22&gt;0,$H22&lt;&gt;""),VLOOKUP($H22,'Weather Data'!$L$2:$P$4170,'DDD Model Calculations'!$D$22,FALSE),"")</f>
        <v>35147.100001104176</v>
      </c>
      <c r="L21">
        <f>IF(AND($K21&gt;0,$K21&lt;&gt;""),VLOOKUP($H21,'Weather Data'!$L$2:$P$4170,'DDD Model Calculations'!$D$22,FALSE),"")</f>
        <v>35154.300003774464</v>
      </c>
      <c r="M21">
        <f t="shared" si="16"/>
        <v>7.2000026702880859</v>
      </c>
      <c r="N21">
        <f t="shared" si="0"/>
        <v>174.80645161290323</v>
      </c>
      <c r="O21">
        <f t="shared" si="1"/>
        <v>0.23225815065445438</v>
      </c>
      <c r="P21">
        <f t="shared" si="17"/>
        <v>-4.7677418493455459</v>
      </c>
      <c r="Q21">
        <f t="shared" si="2"/>
        <v>0</v>
      </c>
      <c r="R21">
        <f t="shared" si="3"/>
        <v>2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4"/>
        <v>0</v>
      </c>
      <c r="U21">
        <f t="shared" si="5"/>
        <v>1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-379.54389267667233</v>
      </c>
      <c r="Y21">
        <f>IF(AND($N21&gt;0,$N21&lt;&gt;""),$N21-('DDD Model Calculations'!L$13+'DDD Model Calculations'!L$12*WorkingData!$P21),"")</f>
        <v>-336.89956561857906</v>
      </c>
      <c r="Z21">
        <f>IF(AND($N21&gt;0,$N21&lt;&gt;""),$N21-('DDD Model Calculations'!M$13+'DDD Model Calculations'!M$12*WorkingData!$P21),"")</f>
        <v>-276.48459896151218</v>
      </c>
      <c r="AA21">
        <f>IF(AND($N21&gt;0,$N21&lt;&gt;""),$N21-('DDD Model Calculations'!N$13+'DDD Model Calculations'!N$12*WorkingData!$P21),"")</f>
        <v>-238.97479116464018</v>
      </c>
      <c r="AB21">
        <f>IF(X21&lt;&gt;"",X21/'DDD Model Calculations'!K$11,"")</f>
        <v>-1.6963107135819557</v>
      </c>
      <c r="AC21">
        <f>IF(Y21&lt;&gt;"",Y21/'DDD Model Calculations'!L$11,"")</f>
        <v>-1.9166399840328709</v>
      </c>
      <c r="AD21">
        <f>IF(Z21&lt;&gt;"",Z21/'DDD Model Calculations'!M$11,"")</f>
        <v>-1.8016153401816688</v>
      </c>
      <c r="AE21">
        <f>IF(AA21&lt;&gt;"",AA21/'DDD Model Calculations'!N$11,"")</f>
        <v>-1.5870413325117383</v>
      </c>
      <c r="AF21">
        <f t="shared" si="8"/>
        <v>1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 x14ac:dyDescent="0.4">
      <c r="A22" s="2">
        <v>45139</v>
      </c>
      <c r="B22" s="1">
        <v>27</v>
      </c>
      <c r="C22" s="1">
        <v>815919</v>
      </c>
      <c r="D22" t="str">
        <v>A</v>
      </c>
      <c r="E22">
        <v>4725</v>
      </c>
      <c r="F22">
        <v>872875</v>
      </c>
      <c r="G22">
        <f t="shared" si="12"/>
        <v>4725</v>
      </c>
      <c r="H22" s="2">
        <f t="shared" si="13"/>
        <v>45139</v>
      </c>
      <c r="I22">
        <f t="shared" si="14"/>
        <v>27</v>
      </c>
      <c r="J22">
        <f t="shared" si="15"/>
        <v>639</v>
      </c>
      <c r="K22">
        <f>IF(AND($H23&gt;0,$H23&lt;&gt;""),VLOOKUP($H23,'Weather Data'!$L$2:$P$4170,'DDD Model Calculations'!$D$22,FALSE),"")</f>
        <v>35147.100001104176</v>
      </c>
      <c r="L22">
        <f>IF(AND($K22&gt;0,$K22&lt;&gt;""),VLOOKUP($H22,'Weather Data'!$L$2:$P$4170,'DDD Model Calculations'!$D$22,FALSE),"")</f>
        <v>35147.100001104176</v>
      </c>
      <c r="M22">
        <f t="shared" si="16"/>
        <v>0</v>
      </c>
      <c r="N22">
        <f t="shared" si="0"/>
        <v>175</v>
      </c>
      <c r="O22">
        <f t="shared" si="1"/>
        <v>0</v>
      </c>
      <c r="P22">
        <f t="shared" si="17"/>
        <v>-5</v>
      </c>
      <c r="Q22">
        <f t="shared" si="2"/>
        <v>0</v>
      </c>
      <c r="R22">
        <f t="shared" si="3"/>
        <v>2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4"/>
        <v>0</v>
      </c>
      <c r="U22">
        <f t="shared" si="5"/>
        <v>1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-370.64158892143269</v>
      </c>
      <c r="Y22">
        <f>IF(AND($N22&gt;0,$N22&lt;&gt;""),$N22-('DDD Model Calculations'!L$13+'DDD Model Calculations'!L$12*WorkingData!$P22),"")</f>
        <v>-327.38529276801808</v>
      </c>
      <c r="Z22">
        <f>IF(AND($N22&gt;0,$N22&lt;&gt;""),$N22-('DDD Model Calculations'!M$13+'DDD Model Calculations'!M$12*WorkingData!$P22),"")</f>
        <v>-266.63036350968162</v>
      </c>
      <c r="AA22">
        <f>IF(AND($N22&gt;0,$N22&lt;&gt;""),$N22-('DDD Model Calculations'!N$13+'DDD Model Calculations'!N$12*WorkingData!$P22),"")</f>
        <v>-228.76595525163589</v>
      </c>
      <c r="AB22">
        <f>IF(X22&lt;&gt;"",X22/'DDD Model Calculations'!K$11,"")</f>
        <v>-1.6565232910283323</v>
      </c>
      <c r="AC22">
        <f>IF(Y22&lt;&gt;"",Y22/'DDD Model Calculations'!L$11,"")</f>
        <v>-1.862512767421886</v>
      </c>
      <c r="AD22">
        <f>IF(Z22&lt;&gt;"",Z22/'DDD Model Calculations'!M$11,"")</f>
        <v>-1.7374036559776913</v>
      </c>
      <c r="AE22">
        <f>IF(AA22&lt;&gt;"",AA22/'DDD Model Calculations'!N$11,"")</f>
        <v>-1.519244036940065</v>
      </c>
      <c r="AF22">
        <f t="shared" si="8"/>
        <v>1</v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 x14ac:dyDescent="0.4">
      <c r="A23" s="2">
        <v>45112</v>
      </c>
      <c r="B23" s="1">
        <v>33</v>
      </c>
      <c r="C23" s="1">
        <v>811194</v>
      </c>
      <c r="D23" t="str">
        <v>A</v>
      </c>
      <c r="E23">
        <v>6844</v>
      </c>
      <c r="F23">
        <v>868150</v>
      </c>
      <c r="G23">
        <f t="shared" si="12"/>
        <v>6844</v>
      </c>
      <c r="H23" s="2">
        <f t="shared" si="13"/>
        <v>45112</v>
      </c>
      <c r="I23">
        <f t="shared" si="14"/>
        <v>33</v>
      </c>
      <c r="J23">
        <f t="shared" si="15"/>
        <v>672</v>
      </c>
      <c r="K23">
        <f>IF(AND($H24&gt;0,$H24&lt;&gt;""),VLOOKUP($H24,'Weather Data'!$L$2:$P$4170,'DDD Model Calculations'!$D$22,FALSE),"")</f>
        <v>35131.000002630055</v>
      </c>
      <c r="L23">
        <f>IF(AND($K23&gt;0,$K23&lt;&gt;""),VLOOKUP($H23,'Weather Data'!$L$2:$P$4170,'DDD Model Calculations'!$D$22,FALSE),"")</f>
        <v>35147.100001104176</v>
      </c>
      <c r="M23">
        <f t="shared" si="16"/>
        <v>16.099998474121094</v>
      </c>
      <c r="N23">
        <f t="shared" si="0"/>
        <v>207.39393939393941</v>
      </c>
      <c r="O23">
        <f t="shared" si="1"/>
        <v>0.48787874164003314</v>
      </c>
      <c r="P23">
        <f t="shared" si="17"/>
        <v>-4.5121212583599668</v>
      </c>
      <c r="Q23">
        <f t="shared" si="2"/>
        <v>0</v>
      </c>
      <c r="R23">
        <f t="shared" si="3"/>
        <v>2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4"/>
        <v>0</v>
      </c>
      <c r="U23">
        <f t="shared" si="5"/>
        <v>1</v>
      </c>
      <c r="V23">
        <f t="shared" si="6"/>
        <v>1</v>
      </c>
      <c r="W23">
        <f t="shared" si="7"/>
        <v>1</v>
      </c>
      <c r="X23">
        <f>IF(AND($N23&gt;0,$N23&lt;&gt;"",'DDD Model Calculations'!$K$3&gt;=3),$N23-('DDD Model Calculations'!K$13+'DDD Model Calculations'!K$12*WorkingData!$P23),"")</f>
        <v>-356.54115870376188</v>
      </c>
      <c r="Y23">
        <f>IF(AND($N23&gt;0,$N23&lt;&gt;""),$N23-('DDD Model Calculations'!L$13+'DDD Model Calculations'!L$12*WorkingData!$P23),"")</f>
        <v>-314.57035763978422</v>
      </c>
      <c r="Z23">
        <f>IF(AND($N23&gt;0,$N23&lt;&gt;""),$N23-('DDD Model Calculations'!M$13+'DDD Model Calculations'!M$12*WorkingData!$P23),"")</f>
        <v>-254.52954982624814</v>
      </c>
      <c r="AA23">
        <f>IF(AND($N23&gt;0,$N23&lt;&gt;""),$N23-('DDD Model Calculations'!N$13+'DDD Model Calculations'!N$12*WorkingData!$P23),"")</f>
        <v>-217.41001112948558</v>
      </c>
      <c r="AB23">
        <f>IF(X23&lt;&gt;"",X23/'DDD Model Calculations'!K$11,"")</f>
        <v>-1.5935036737828356</v>
      </c>
      <c r="AC23">
        <f>IF(Y23&lt;&gt;"",Y23/'DDD Model Calculations'!L$11,"")</f>
        <v>-1.7896079032839254</v>
      </c>
      <c r="AD23">
        <f>IF(Z23&lt;&gt;"",Z23/'DDD Model Calculations'!M$11,"")</f>
        <v>-1.6585529292368908</v>
      </c>
      <c r="AE23">
        <f>IF(AA23&lt;&gt;"",AA23/'DDD Model Calculations'!N$11,"")</f>
        <v>-1.4438287489772024</v>
      </c>
      <c r="AF23">
        <f t="shared" si="8"/>
        <v>1</v>
      </c>
      <c r="AG23">
        <f t="shared" si="9"/>
        <v>1</v>
      </c>
      <c r="AH23">
        <f t="shared" si="10"/>
        <v>1</v>
      </c>
      <c r="AI23">
        <f t="shared" si="11"/>
        <v>1</v>
      </c>
    </row>
    <row r="24" spans="1:35" x14ac:dyDescent="0.4">
      <c r="A24" s="2">
        <v>45079</v>
      </c>
      <c r="B24" s="1">
        <v>32</v>
      </c>
      <c r="C24" s="1">
        <v>804350</v>
      </c>
      <c r="D24" t="str">
        <v>A</v>
      </c>
      <c r="E24">
        <v>17257</v>
      </c>
      <c r="F24">
        <v>861306</v>
      </c>
      <c r="G24">
        <f t="shared" si="12"/>
        <v>17257</v>
      </c>
      <c r="H24" s="2">
        <f t="shared" si="13"/>
        <v>45079</v>
      </c>
      <c r="I24">
        <f t="shared" si="14"/>
        <v>32</v>
      </c>
      <c r="J24">
        <f t="shared" si="15"/>
        <v>704</v>
      </c>
      <c r="K24">
        <f>IF(AND($H25&gt;0,$H25&lt;&gt;""),VLOOKUP($H25,'Weather Data'!$L$2:$P$4170,'DDD Model Calculations'!$D$22,FALSE),"")</f>
        <v>34987.60000205785</v>
      </c>
      <c r="L24">
        <f>IF(AND($K24&gt;0,$K24&lt;&gt;""),VLOOKUP($H24,'Weather Data'!$L$2:$P$4170,'DDD Model Calculations'!$D$22,FALSE),"")</f>
        <v>35131.000002630055</v>
      </c>
      <c r="M24">
        <f t="shared" si="16"/>
        <v>143.40000057220459</v>
      </c>
      <c r="N24">
        <f t="shared" si="0"/>
        <v>539.28125</v>
      </c>
      <c r="O24">
        <f t="shared" si="1"/>
        <v>4.4812500178813934</v>
      </c>
      <c r="P24">
        <f t="shared" si="17"/>
        <v>-0.51874998211860657</v>
      </c>
      <c r="Q24">
        <f t="shared" si="2"/>
        <v>0</v>
      </c>
      <c r="R24">
        <f t="shared" si="3"/>
        <v>2</v>
      </c>
      <c r="S24">
        <f>IF('DDD Model Calculations'!$D$23=1,WorkingData!AF24,IF('DDD Model Calculations'!$D$23=2,WorkingData!AG24,IF('DDD Model Calculations'!$D$23=4,WorkingData!AH24,WorkingData!AI24)))</f>
        <v>1</v>
      </c>
      <c r="T24">
        <f t="shared" si="4"/>
        <v>0</v>
      </c>
      <c r="U24">
        <f t="shared" si="5"/>
        <v>1</v>
      </c>
      <c r="V24">
        <f t="shared" si="6"/>
        <v>1</v>
      </c>
      <c r="W24">
        <f t="shared" si="7"/>
        <v>1</v>
      </c>
      <c r="X24">
        <f>IF(AND($N24&gt;0,$N24&lt;&gt;"",'DDD Model Calculations'!$K$3&gt;=3),$N24-('DDD Model Calculations'!K$13+'DDD Model Calculations'!K$12*WorkingData!$P24),"")</f>
        <v>-174.38936196862198</v>
      </c>
      <c r="Y24">
        <f>IF(AND($N24&gt;0,$N24&lt;&gt;""),$N24-('DDD Model Calculations'!L$13+'DDD Model Calculations'!L$12*WorkingData!$P24),"")</f>
        <v>-142.94055894999951</v>
      </c>
      <c r="Z24">
        <f>IF(AND($N24&gt;0,$N24&lt;&gt;""),$N24-('DDD Model Calculations'!M$13+'DDD Model Calculations'!M$12*WorkingData!$P24),"")</f>
        <v>-88.744957787254748</v>
      </c>
      <c r="AA24">
        <f>IF(AND($N24&gt;0,$N24&lt;&gt;""),$N24-('DDD Model Calculations'!N$13+'DDD Model Calculations'!N$12*WorkingData!$P24),"")</f>
        <v>-57.72230435459619</v>
      </c>
      <c r="AB24">
        <f>IF(X24&lt;&gt;"",X24/'DDD Model Calculations'!K$11,"")</f>
        <v>-0.77940535666608246</v>
      </c>
      <c r="AC24">
        <f>IF(Y24&lt;&gt;"",Y24/'DDD Model Calculations'!L$11,"")</f>
        <v>-0.8131966276672109</v>
      </c>
      <c r="AD24">
        <f>IF(Z24&lt;&gt;"",Z24/'DDD Model Calculations'!M$11,"")</f>
        <v>-0.57827552751156808</v>
      </c>
      <c r="AE24">
        <f>IF(AA24&lt;&gt;"",AA24/'DDD Model Calculations'!N$11,"")</f>
        <v>-0.38333617689178734</v>
      </c>
      <c r="AF24">
        <f t="shared" si="8"/>
        <v>1</v>
      </c>
      <c r="AG24">
        <f t="shared" si="9"/>
        <v>1</v>
      </c>
      <c r="AH24">
        <f t="shared" si="10"/>
        <v>1</v>
      </c>
      <c r="AI24">
        <f t="shared" si="11"/>
        <v>1</v>
      </c>
    </row>
    <row r="25" spans="1:35" x14ac:dyDescent="0.4">
      <c r="A25" s="2">
        <v>45047</v>
      </c>
      <c r="B25" s="1">
        <v>28</v>
      </c>
      <c r="C25" s="1">
        <v>787093</v>
      </c>
      <c r="D25" t="str">
        <v>A</v>
      </c>
      <c r="E25">
        <v>24266</v>
      </c>
      <c r="F25">
        <v>844049</v>
      </c>
      <c r="G25">
        <f t="shared" si="12"/>
        <v>24266</v>
      </c>
      <c r="H25" s="2">
        <f t="shared" si="13"/>
        <v>45047</v>
      </c>
      <c r="I25">
        <f t="shared" si="14"/>
        <v>28</v>
      </c>
      <c r="J25">
        <f t="shared" si="15"/>
        <v>732</v>
      </c>
      <c r="K25">
        <f>IF(AND($H26&gt;0,$H26&lt;&gt;""),VLOOKUP($H26,'Weather Data'!$L$2:$P$4170,'DDD Model Calculations'!$D$22,FALSE),"")</f>
        <v>34742.400001771748</v>
      </c>
      <c r="L25">
        <f>IF(AND($K25&gt;0,$K25&lt;&gt;""),VLOOKUP($H25,'Weather Data'!$L$2:$P$4170,'DDD Model Calculations'!$D$22,FALSE),"")</f>
        <v>34987.60000205785</v>
      </c>
      <c r="M25">
        <f t="shared" si="16"/>
        <v>245.20000028610229</v>
      </c>
      <c r="N25">
        <f t="shared" si="0"/>
        <v>866.64285714285711</v>
      </c>
      <c r="O25">
        <f t="shared" si="1"/>
        <v>8.7571428673607965</v>
      </c>
      <c r="P25">
        <f t="shared" si="17"/>
        <v>3.7571428673607965</v>
      </c>
      <c r="Q25">
        <f t="shared" si="2"/>
        <v>1</v>
      </c>
      <c r="R25">
        <f t="shared" si="3"/>
        <v>2</v>
      </c>
      <c r="S25">
        <f>IF('DDD Model Calculations'!$D$23=1,WorkingData!AF25,IF('DDD Model Calculations'!$D$23=2,WorkingData!AG25,IF('DDD Model Calculations'!$D$23=4,WorkingData!AH25,WorkingData!AI25)))</f>
        <v>1</v>
      </c>
      <c r="T25">
        <f t="shared" si="4"/>
        <v>0</v>
      </c>
      <c r="U25">
        <f t="shared" si="5"/>
        <v>1</v>
      </c>
      <c r="V25">
        <f t="shared" si="6"/>
        <v>1</v>
      </c>
      <c r="W25">
        <f t="shared" si="7"/>
        <v>1</v>
      </c>
      <c r="X25">
        <f>IF(AND($N25&gt;0,$N25&lt;&gt;"",'DDD Model Calculations'!$K$3&gt;=3),$N25-('DDD Model Calculations'!K$13+'DDD Model Calculations'!K$12*WorkingData!$P25),"")</f>
        <v>-7.3567021698277131</v>
      </c>
      <c r="Y25">
        <f>IF(AND($N25&gt;0,$N25&lt;&gt;""),$N25-('DDD Model Calculations'!L$13+'DDD Model Calculations'!L$12*WorkingData!$P25),"")</f>
        <v>12.825696326870002</v>
      </c>
      <c r="Z25">
        <f>IF(AND($N25&gt;0,$N25&lt;&gt;""),$N25-('DDD Model Calculations'!M$13+'DDD Model Calculations'!M$12*WorkingData!$P25),"")</f>
        <v>60.762556292534555</v>
      </c>
      <c r="AA25">
        <f>IF(AND($N25&gt;0,$N25&lt;&gt;""),$N25-('DDD Model Calculations'!N$13+'DDD Model Calculations'!N$12*WorkingData!$P25),"")</f>
        <v>85.256984248143226</v>
      </c>
      <c r="AB25">
        <f>IF(X25&lt;&gt;"",X25/'DDD Model Calculations'!K$11,"")</f>
        <v>-3.287960351384512E-2</v>
      </c>
      <c r="AC25">
        <f>IF(Y25&lt;&gt;"",Y25/'DDD Model Calculations'!L$11,"")</f>
        <v>7.2966085183301679E-2</v>
      </c>
      <c r="AD25">
        <f>IF(Z25&lt;&gt;"",Z25/'DDD Model Calculations'!M$11,"")</f>
        <v>0.39593797967937167</v>
      </c>
      <c r="AE25">
        <f>IF(AA25&lt;&gt;"",AA25/'DDD Model Calculations'!N$11,"")</f>
        <v>0.5661951088133268</v>
      </c>
      <c r="AF25">
        <f t="shared" si="8"/>
        <v>1</v>
      </c>
      <c r="AG25">
        <f t="shared" si="9"/>
        <v>1</v>
      </c>
      <c r="AH25">
        <f t="shared" si="10"/>
        <v>1</v>
      </c>
      <c r="AI25">
        <f t="shared" si="11"/>
        <v>1</v>
      </c>
    </row>
    <row r="26" spans="1:35" x14ac:dyDescent="0.4">
      <c r="A26" s="2">
        <v>45019</v>
      </c>
      <c r="B26" s="1">
        <v>32</v>
      </c>
      <c r="C26" s="1">
        <v>762827</v>
      </c>
      <c r="D26" t="str">
        <v>A</v>
      </c>
      <c r="E26">
        <v>40129</v>
      </c>
      <c r="F26">
        <v>819783</v>
      </c>
      <c r="G26">
        <f t="shared" si="12"/>
        <v>40129</v>
      </c>
      <c r="H26" s="2">
        <f t="shared" si="13"/>
        <v>45019</v>
      </c>
      <c r="I26">
        <f t="shared" si="14"/>
        <v>32</v>
      </c>
      <c r="J26">
        <f t="shared" si="15"/>
        <v>764</v>
      </c>
      <c r="K26">
        <f>IF(AND($H27&gt;0,$H27&lt;&gt;""),VLOOKUP($H27,'Weather Data'!$L$2:$P$4170,'DDD Model Calculations'!$D$22,FALSE),"")</f>
        <v>34205.300001390278</v>
      </c>
      <c r="L26">
        <f>IF(AND($K26&gt;0,$K26&lt;&gt;""),VLOOKUP($H26,'Weather Data'!$L$2:$P$4170,'DDD Model Calculations'!$D$22,FALSE),"")</f>
        <v>34742.400001771748</v>
      </c>
      <c r="M26">
        <f t="shared" si="16"/>
        <v>537.10000038146973</v>
      </c>
      <c r="N26">
        <f t="shared" si="0"/>
        <v>1254.03125</v>
      </c>
      <c r="O26">
        <f t="shared" si="1"/>
        <v>16.784375011920929</v>
      </c>
      <c r="P26">
        <f t="shared" si="17"/>
        <v>11.784375011920929</v>
      </c>
      <c r="Q26">
        <f t="shared" si="2"/>
        <v>1</v>
      </c>
      <c r="R26">
        <f t="shared" si="3"/>
        <v>3</v>
      </c>
      <c r="S26">
        <f>IF('DDD Model Calculations'!$D$23=1,WorkingData!AF26,IF('DDD Model Calculations'!$D$23=2,WorkingData!AG26,IF('DDD Model Calculations'!$D$23=4,WorkingData!AH26,WorkingData!AI26)))</f>
        <v>1</v>
      </c>
      <c r="T26">
        <f t="shared" si="4"/>
        <v>0</v>
      </c>
      <c r="U26">
        <f t="shared" si="5"/>
        <v>0</v>
      </c>
      <c r="V26">
        <f t="shared" si="6"/>
        <v>1</v>
      </c>
      <c r="W26">
        <f t="shared" si="7"/>
        <v>1</v>
      </c>
      <c r="X26">
        <f>IF(AND($N26&gt;0,$N26&lt;&gt;"",'DDD Model Calculations'!$K$3&gt;=3),$N26-('DDD Model Calculations'!K$13+'DDD Model Calculations'!K$12*WorkingData!$P26),"")</f>
        <v>79.042464546991368</v>
      </c>
      <c r="Y26">
        <f>IF(AND($N26&gt;0,$N26&lt;&gt;""),$N26-('DDD Model Calculations'!L$13+'DDD Model Calculations'!L$12*WorkingData!$P26),"")</f>
        <v>78.074182305039585</v>
      </c>
      <c r="Z26">
        <f>IF(AND($N26&gt;0,$N26&lt;&gt;""),$N26-('DDD Model Calculations'!M$13+'DDD Model Calculations'!M$12*WorkingData!$P26),"")</f>
        <v>114.26136324687172</v>
      </c>
      <c r="AA26">
        <f>IF(AND($N26&gt;0,$N26&lt;&gt;""),$N26-('DDD Model Calculations'!N$13+'DDD Model Calculations'!N$12*WorkingData!$P26),"")</f>
        <v>126.50020313209825</v>
      </c>
      <c r="AB26">
        <f>IF(X26&lt;&gt;"",X26/'DDD Model Calculations'!K$11,"")</f>
        <v>0.35326765105717184</v>
      </c>
      <c r="AC26">
        <f>IF(Y26&lt;&gt;"",Y26/'DDD Model Calculations'!L$11,"")</f>
        <v>0.44416827683276272</v>
      </c>
      <c r="AD26">
        <f>IF(Z26&lt;&gt;"",Z26/'DDD Model Calculations'!M$11,"")</f>
        <v>0.7445442733115486</v>
      </c>
      <c r="AE26">
        <f>IF(AA26&lt;&gt;"",AA26/'DDD Model Calculations'!N$11,"")</f>
        <v>0.84009300714675683</v>
      </c>
      <c r="AF26">
        <f t="shared" si="8"/>
        <v>1</v>
      </c>
      <c r="AG26">
        <f t="shared" si="9"/>
        <v>1</v>
      </c>
      <c r="AH26">
        <f t="shared" si="10"/>
        <v>1</v>
      </c>
      <c r="AI26">
        <f t="shared" si="11"/>
        <v>1</v>
      </c>
    </row>
    <row r="27" spans="1:35" x14ac:dyDescent="0.4">
      <c r="A27" s="2">
        <v>44987</v>
      </c>
      <c r="B27" s="1">
        <v>29</v>
      </c>
      <c r="C27" s="1">
        <v>722698</v>
      </c>
      <c r="D27" t="str">
        <v>A</v>
      </c>
      <c r="E27">
        <v>38149</v>
      </c>
      <c r="F27">
        <v>779654</v>
      </c>
      <c r="G27">
        <f t="shared" si="12"/>
        <v>38149</v>
      </c>
      <c r="H27" s="2">
        <f t="shared" si="13"/>
        <v>44987</v>
      </c>
      <c r="I27">
        <f t="shared" si="14"/>
        <v>29</v>
      </c>
      <c r="J27">
        <f t="shared" si="15"/>
        <v>793</v>
      </c>
      <c r="K27">
        <f>IF(AND($H28&gt;0,$H28&lt;&gt;""),VLOOKUP($H28,'Weather Data'!$L$2:$P$4170,'DDD Model Calculations'!$D$22,FALSE),"")</f>
        <v>33655.100001759827</v>
      </c>
      <c r="L27">
        <f>IF(AND($K27&gt;0,$K27&lt;&gt;""),VLOOKUP($H27,'Weather Data'!$L$2:$P$4170,'DDD Model Calculations'!$D$22,FALSE),"")</f>
        <v>34205.300001390278</v>
      </c>
      <c r="M27">
        <f t="shared" si="16"/>
        <v>550.1999996304512</v>
      </c>
      <c r="N27">
        <f t="shared" si="0"/>
        <v>1315.4827586206898</v>
      </c>
      <c r="O27">
        <f t="shared" si="1"/>
        <v>18.972413780360387</v>
      </c>
      <c r="P27">
        <f t="shared" si="17"/>
        <v>13.972413780360387</v>
      </c>
      <c r="Q27">
        <f t="shared" si="2"/>
        <v>1</v>
      </c>
      <c r="R27">
        <f t="shared" si="3"/>
        <v>3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1</v>
      </c>
      <c r="W27">
        <f t="shared" si="7"/>
        <v>1</v>
      </c>
      <c r="X27">
        <f>IF(AND($N27&gt;0,$N27&lt;&gt;"",'DDD Model Calculations'!$K$3&gt;=3),$N27-('DDD Model Calculations'!K$13+'DDD Model Calculations'!K$12*WorkingData!$P27),"")</f>
        <v>58.451236167241859</v>
      </c>
      <c r="Y27">
        <f>IF(AND($N27&gt;0,$N27&lt;&gt;""),$N27-('DDD Model Calculations'!L$13+'DDD Model Calculations'!L$12*WorkingData!$P27),"")</f>
        <v>51.717765053006815</v>
      </c>
      <c r="Z27">
        <f>IF(AND($N27&gt;0,$N27&lt;&gt;""),$N27-('DDD Model Calculations'!M$13+'DDD Model Calculations'!M$12*WorkingData!$P27),"")</f>
        <v>84.702253864116528</v>
      </c>
      <c r="AA27">
        <f>IF(AND($N27&gt;0,$N27&lt;&gt;""),$N27-('DDD Model Calculations'!N$13+'DDD Model Calculations'!N$12*WorkingData!$P27),"")</f>
        <v>93.600502453974514</v>
      </c>
      <c r="AB27">
        <f>IF(X27&lt;&gt;"",X27/'DDD Model Calculations'!K$11,"")</f>
        <v>0.26123844974385368</v>
      </c>
      <c r="AC27">
        <f>IF(Y27&lt;&gt;"",Y27/'DDD Model Calculations'!L$11,"")</f>
        <v>0.29422518311476364</v>
      </c>
      <c r="AD27">
        <f>IF(Z27&lt;&gt;"",Z27/'DDD Model Calculations'!M$11,"")</f>
        <v>0.55193265911638367</v>
      </c>
      <c r="AE27">
        <f>IF(AA27&lt;&gt;"",AA27/'DDD Model Calculations'!N$11,"")</f>
        <v>0.62160475343184973</v>
      </c>
      <c r="AF27">
        <f t="shared" si="8"/>
        <v>1</v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 x14ac:dyDescent="0.4">
      <c r="A28" s="2">
        <v>44958</v>
      </c>
      <c r="B28" s="1">
        <v>29</v>
      </c>
      <c r="C28" s="1">
        <v>684549</v>
      </c>
      <c r="D28" t="str">
        <v>A</v>
      </c>
      <c r="E28">
        <v>35778</v>
      </c>
      <c r="F28">
        <v>741505</v>
      </c>
      <c r="G28">
        <f t="shared" si="12"/>
        <v>35778</v>
      </c>
      <c r="H28" s="2">
        <f t="shared" si="13"/>
        <v>44958</v>
      </c>
      <c r="I28">
        <f t="shared" si="14"/>
        <v>29</v>
      </c>
      <c r="J28">
        <f t="shared" si="15"/>
        <v>822</v>
      </c>
      <c r="K28">
        <f>IF(AND($H29&gt;0,$H29&lt;&gt;""),VLOOKUP($H29,'Weather Data'!$L$2:$P$4170,'DDD Model Calculations'!$D$22,FALSE),"")</f>
        <v>33087.200002498925</v>
      </c>
      <c r="L28">
        <f>IF(AND($K28&gt;0,$K28&lt;&gt;""),VLOOKUP($H28,'Weather Data'!$L$2:$P$4170,'DDD Model Calculations'!$D$22,FALSE),"")</f>
        <v>33655.100001759827</v>
      </c>
      <c r="M28">
        <f t="shared" si="16"/>
        <v>567.8999992609024</v>
      </c>
      <c r="N28">
        <f t="shared" si="0"/>
        <v>1233.7241379310344</v>
      </c>
      <c r="O28">
        <f t="shared" si="1"/>
        <v>19.582758595203533</v>
      </c>
      <c r="P28">
        <f t="shared" si="17"/>
        <v>14.582758595203533</v>
      </c>
      <c r="Q28">
        <f t="shared" si="2"/>
        <v>1</v>
      </c>
      <c r="R28">
        <f t="shared" si="3"/>
        <v>3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1</v>
      </c>
      <c r="W28">
        <f t="shared" si="7"/>
        <v>1</v>
      </c>
      <c r="X28">
        <f>IF(AND($N28&gt;0,$N28&lt;&gt;"",'DDD Model Calculations'!$K$3&gt;=3),$N28-('DDD Model Calculations'!K$13+'DDD Model Calculations'!K$12*WorkingData!$P28),"")</f>
        <v>-46.192883557456753</v>
      </c>
      <c r="Y28">
        <f>IF(AND($N28&gt;0,$N28&lt;&gt;""),$N28-('DDD Model Calculations'!L$13+'DDD Model Calculations'!L$12*WorkingData!$P28),"")</f>
        <v>-54.53453144878722</v>
      </c>
      <c r="Z28">
        <f>IF(AND($N28&gt;0,$N28&lt;&gt;""),$N28-('DDD Model Calculations'!M$13+'DDD Model Calculations'!M$12*WorkingData!$P28),"")</f>
        <v>-22.443421020054075</v>
      </c>
      <c r="AA28">
        <f>IF(AND($N28&gt;0,$N28&lt;&gt;""),$N28-('DDD Model Calculations'!N$13+'DDD Model Calculations'!N$12*WorkingData!$P28),"")</f>
        <v>-14.477017242567854</v>
      </c>
      <c r="AB28">
        <f>IF(X28&lt;&gt;"",X28/'DDD Model Calculations'!K$11,"")</f>
        <v>-0.20645170369401569</v>
      </c>
      <c r="AC28">
        <f>IF(Y28&lt;&gt;"",Y28/'DDD Model Calculations'!L$11,"")</f>
        <v>-0.31024992060565448</v>
      </c>
      <c r="AD28">
        <f>IF(Z28&lt;&gt;"",Z28/'DDD Model Calculations'!M$11,"")</f>
        <v>-0.14624471579161549</v>
      </c>
      <c r="AE28">
        <f>IF(AA28&lt;&gt;"",AA28/'DDD Model Calculations'!N$11,"")</f>
        <v>-9.614246181979666E-2</v>
      </c>
      <c r="AF28">
        <f t="shared" si="8"/>
        <v>1</v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 x14ac:dyDescent="0.4">
      <c r="A29" s="2">
        <v>44929</v>
      </c>
      <c r="B29" s="1">
        <v>32</v>
      </c>
      <c r="C29" s="1">
        <v>648771</v>
      </c>
      <c r="D29" t="str">
        <v>A</v>
      </c>
      <c r="E29">
        <v>40690</v>
      </c>
      <c r="F29">
        <v>705727</v>
      </c>
      <c r="G29">
        <f t="shared" si="12"/>
        <v>40690</v>
      </c>
      <c r="H29" s="2">
        <f t="shared" si="13"/>
        <v>44929</v>
      </c>
      <c r="I29">
        <f t="shared" si="14"/>
        <v>32</v>
      </c>
      <c r="J29">
        <f t="shared" si="15"/>
        <v>854</v>
      </c>
      <c r="K29">
        <f>IF(AND($H30&gt;0,$H30&lt;&gt;""),VLOOKUP($H30,'Weather Data'!$L$2:$P$4170,'DDD Model Calculations'!$D$22,FALSE),"")</f>
        <v>32501.500002168119</v>
      </c>
      <c r="L29">
        <f>IF(AND($K29&gt;0,$K29&lt;&gt;""),VLOOKUP($H29,'Weather Data'!$L$2:$P$4170,'DDD Model Calculations'!$D$22,FALSE),"")</f>
        <v>33087.200002498925</v>
      </c>
      <c r="M29">
        <f t="shared" si="16"/>
        <v>585.70000033080578</v>
      </c>
      <c r="N29">
        <f t="shared" si="0"/>
        <v>1271.5625</v>
      </c>
      <c r="O29">
        <f t="shared" si="1"/>
        <v>18.303125010337681</v>
      </c>
      <c r="P29">
        <f t="shared" si="17"/>
        <v>13.303125010337681</v>
      </c>
      <c r="Q29">
        <f t="shared" si="2"/>
        <v>1</v>
      </c>
      <c r="R29">
        <f t="shared" si="3"/>
        <v>3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4"/>
        <v>0</v>
      </c>
      <c r="U29">
        <f t="shared" si="5"/>
        <v>0</v>
      </c>
      <c r="V29">
        <f t="shared" si="6"/>
        <v>1</v>
      </c>
      <c r="W29">
        <f t="shared" si="7"/>
        <v>1</v>
      </c>
      <c r="X29">
        <f>IF(AND($N29&gt;0,$N29&lt;&gt;"",'DDD Model Calculations'!$K$3&gt;=3),$N29-('DDD Model Calculations'!K$13+'DDD Model Calculations'!K$12*WorkingData!$P29),"")</f>
        <v>39.626640077012098</v>
      </c>
      <c r="Y29">
        <f>IF(AND($N29&gt;0,$N29&lt;&gt;""),$N29-('DDD Model Calculations'!L$13+'DDD Model Calculations'!L$12*WorkingData!$P29),"")</f>
        <v>34.6566551609817</v>
      </c>
      <c r="Z29">
        <f>IF(AND($N29&gt;0,$N29&lt;&gt;""),$N29-('DDD Model Calculations'!M$13+'DDD Model Calculations'!M$12*WorkingData!$P29),"")</f>
        <v>68.620800232232114</v>
      </c>
      <c r="AA29">
        <f>IF(AND($N29&gt;0,$N29&lt;&gt;""),$N29-('DDD Model Calculations'!N$13+'DDD Model Calculations'!N$12*WorkingData!$P29),"")</f>
        <v>78.540886401695843</v>
      </c>
      <c r="AB29">
        <f>IF(X29&lt;&gt;"",X29/'DDD Model Calculations'!K$11,"")</f>
        <v>0.17710492884456619</v>
      </c>
      <c r="AC29">
        <f>IF(Y29&lt;&gt;"",Y29/'DDD Model Calculations'!L$11,"")</f>
        <v>0.19716359940214054</v>
      </c>
      <c r="AD29">
        <f>IF(Z29&lt;&gt;"",Z29/'DDD Model Calculations'!M$11,"")</f>
        <v>0.4471434821985899</v>
      </c>
      <c r="AE29">
        <f>IF(AA29&lt;&gt;"",AA29/'DDD Model Calculations'!N$11,"")</f>
        <v>0.52159322916083328</v>
      </c>
      <c r="AF29">
        <f t="shared" si="8"/>
        <v>1</v>
      </c>
      <c r="AG29">
        <f t="shared" si="9"/>
        <v>1</v>
      </c>
      <c r="AH29">
        <f t="shared" si="10"/>
        <v>1</v>
      </c>
      <c r="AI29">
        <f t="shared" si="11"/>
        <v>1</v>
      </c>
    </row>
    <row r="30" spans="1:35" x14ac:dyDescent="0.4">
      <c r="A30" s="2">
        <v>44897</v>
      </c>
      <c r="B30" s="1">
        <v>29</v>
      </c>
      <c r="C30" s="1">
        <v>608081</v>
      </c>
      <c r="D30" t="str">
        <v>A</v>
      </c>
      <c r="E30">
        <v>27606</v>
      </c>
      <c r="F30">
        <v>665037</v>
      </c>
      <c r="G30">
        <f t="shared" si="12"/>
        <v>27606</v>
      </c>
      <c r="H30" s="2">
        <f t="shared" si="13"/>
        <v>44897</v>
      </c>
      <c r="I30">
        <f t="shared" si="14"/>
        <v>29</v>
      </c>
      <c r="J30">
        <f t="shared" si="15"/>
        <v>883</v>
      </c>
      <c r="K30">
        <f>IF(AND($H31&gt;0,$H31&lt;&gt;""),VLOOKUP($H31,'Weather Data'!$L$2:$P$4170,'DDD Model Calculations'!$D$22,FALSE),"")</f>
        <v>32107.300002261996</v>
      </c>
      <c r="L30">
        <f>IF(AND($K30&gt;0,$K30&lt;&gt;""),VLOOKUP($H30,'Weather Data'!$L$2:$P$4170,'DDD Model Calculations'!$D$22,FALSE),"")</f>
        <v>32501.500002168119</v>
      </c>
      <c r="M30">
        <f t="shared" si="16"/>
        <v>394.19999990612268</v>
      </c>
      <c r="N30">
        <f t="shared" si="0"/>
        <v>951.93103448275861</v>
      </c>
      <c r="O30">
        <f t="shared" si="1"/>
        <v>13.593103445038713</v>
      </c>
      <c r="P30">
        <f t="shared" si="17"/>
        <v>8.5931034450387127</v>
      </c>
      <c r="Q30">
        <f t="shared" si="2"/>
        <v>1</v>
      </c>
      <c r="R30">
        <f t="shared" si="3"/>
        <v>3</v>
      </c>
      <c r="S30">
        <f>IF('DDD Model Calculations'!$D$23=1,WorkingData!AF30,IF('DDD Model Calculations'!$D$23=2,WorkingData!AG30,IF('DDD Model Calculations'!$D$23=4,WorkingData!AH30,WorkingData!AI30)))</f>
        <v>1</v>
      </c>
      <c r="T30">
        <f t="shared" si="4"/>
        <v>0</v>
      </c>
      <c r="U30">
        <f t="shared" si="5"/>
        <v>0</v>
      </c>
      <c r="V30">
        <f t="shared" si="6"/>
        <v>1</v>
      </c>
      <c r="W30">
        <f t="shared" si="7"/>
        <v>1</v>
      </c>
      <c r="X30">
        <f>IF(AND($N30&gt;0,$N30&lt;&gt;"",'DDD Model Calculations'!$K$3&gt;=3),$N30-('DDD Model Calculations'!K$13+'DDD Model Calculations'!K$12*WorkingData!$P30),"")</f>
        <v>-103.39778075617915</v>
      </c>
      <c r="Y30">
        <f>IF(AND($N30&gt;0,$N30&lt;&gt;""),$N30-('DDD Model Calculations'!L$13+'DDD Model Calculations'!L$12*WorkingData!$P30),"")</f>
        <v>-95.957490174284658</v>
      </c>
      <c r="Z30">
        <f>IF(AND($N30&gt;0,$N30&lt;&gt;""),$N30-('DDD Model Calculations'!M$13+'DDD Model Calculations'!M$12*WorkingData!$P30),"")</f>
        <v>-55.099157842597606</v>
      </c>
      <c r="AA30">
        <f>IF(AND($N30&gt;0,$N30&lt;&gt;""),$N30-('DDD Model Calculations'!N$13+'DDD Model Calculations'!N$12*WorkingData!$P30),"")</f>
        <v>-37.988039563013672</v>
      </c>
      <c r="AB30">
        <f>IF(X30&lt;&gt;"",X30/'DDD Model Calculations'!K$11,"")</f>
        <v>-0.46211984079196072</v>
      </c>
      <c r="AC30">
        <f>IF(Y30&lt;&gt;"",Y30/'DDD Model Calculations'!L$11,"")</f>
        <v>-0.54590738963343111</v>
      </c>
      <c r="AD30">
        <f>IF(Z30&lt;&gt;"",Z30/'DDD Model Calculations'!M$11,"")</f>
        <v>-0.35903442134993346</v>
      </c>
      <c r="AE30">
        <f>IF(AA30&lt;&gt;"",AA30/'DDD Model Calculations'!N$11,"")</f>
        <v>-0.25228011973053011</v>
      </c>
      <c r="AF30">
        <f t="shared" si="8"/>
        <v>1</v>
      </c>
      <c r="AG30">
        <f t="shared" si="9"/>
        <v>1</v>
      </c>
      <c r="AH30">
        <f t="shared" si="10"/>
        <v>1</v>
      </c>
      <c r="AI30">
        <f t="shared" si="11"/>
        <v>1</v>
      </c>
    </row>
    <row r="31" spans="1:35" x14ac:dyDescent="0.4">
      <c r="A31" s="2">
        <v>44868</v>
      </c>
      <c r="B31" s="1">
        <v>33</v>
      </c>
      <c r="C31" s="1">
        <v>580475</v>
      </c>
      <c r="D31" t="str">
        <v>A</v>
      </c>
      <c r="E31">
        <v>21552</v>
      </c>
      <c r="F31">
        <v>637431</v>
      </c>
      <c r="G31">
        <f t="shared" si="12"/>
        <v>21552</v>
      </c>
      <c r="H31" s="2">
        <f t="shared" si="13"/>
        <v>44868</v>
      </c>
      <c r="I31">
        <f t="shared" si="14"/>
        <v>33</v>
      </c>
      <c r="J31">
        <f t="shared" si="15"/>
        <v>916</v>
      </c>
      <c r="K31">
        <f>IF(AND($H32&gt;0,$H32&lt;&gt;""),VLOOKUP($H32,'Weather Data'!$L$2:$P$4170,'DDD Model Calculations'!$D$22,FALSE),"")</f>
        <v>31853.400003120303</v>
      </c>
      <c r="L31">
        <f>IF(AND($K31&gt;0,$K31&lt;&gt;""),VLOOKUP($H31,'Weather Data'!$L$2:$P$4170,'DDD Model Calculations'!$D$22,FALSE),"")</f>
        <v>32107.300002261996</v>
      </c>
      <c r="M31">
        <f t="shared" si="16"/>
        <v>253.89999914169312</v>
      </c>
      <c r="N31">
        <f t="shared" si="0"/>
        <v>653.09090909090912</v>
      </c>
      <c r="O31">
        <f t="shared" si="1"/>
        <v>7.6939393679300947</v>
      </c>
      <c r="P31">
        <f t="shared" si="17"/>
        <v>2.6939393679300947</v>
      </c>
      <c r="Q31">
        <f t="shared" si="2"/>
        <v>1</v>
      </c>
      <c r="R31">
        <f t="shared" si="3"/>
        <v>3</v>
      </c>
      <c r="S31">
        <f>IF('DDD Model Calculations'!$D$23=1,WorkingData!AF31,IF('DDD Model Calculations'!$D$23=2,WorkingData!AG31,IF('DDD Model Calculations'!$D$23=4,WorkingData!AH31,WorkingData!AI31)))</f>
        <v>1</v>
      </c>
      <c r="T31">
        <f t="shared" si="4"/>
        <v>0</v>
      </c>
      <c r="U31">
        <f t="shared" si="5"/>
        <v>0</v>
      </c>
      <c r="V31">
        <f t="shared" si="6"/>
        <v>1</v>
      </c>
      <c r="W31">
        <f t="shared" si="7"/>
        <v>1</v>
      </c>
      <c r="X31">
        <f>IF(AND($N31&gt;0,$N31&lt;&gt;"",'DDD Model Calculations'!$K$3&gt;=3),$N31-('DDD Model Calculations'!K$13+'DDD Model Calculations'!K$12*WorkingData!$P31),"")</f>
        <v>-181.04275463531303</v>
      </c>
      <c r="Y31">
        <f>IF(AND($N31&gt;0,$N31&lt;&gt;""),$N31-('DDD Model Calculations'!L$13+'DDD Model Calculations'!L$12*WorkingData!$P31),"")</f>
        <v>-158.05895742836219</v>
      </c>
      <c r="Z31">
        <f>IF(AND($N31&gt;0,$N31&lt;&gt;""),$N31-('DDD Model Calculations'!M$13+'DDD Model Calculations'!M$12*WorkingData!$P31),"")</f>
        <v>-108.5658574499065</v>
      </c>
      <c r="AA31">
        <f>IF(AND($N31&gt;0,$N31&lt;&gt;""),$N31-('DDD Model Calculations'!N$13+'DDD Model Calculations'!N$12*WorkingData!$P31),"")</f>
        <v>-82.448182042454619</v>
      </c>
      <c r="AB31">
        <f>IF(X31&lt;&gt;"",X31/'DDD Model Calculations'!K$11,"")</f>
        <v>-0.80914163086241153</v>
      </c>
      <c r="AC31">
        <f>IF(Y31&lt;&gt;"",Y31/'DDD Model Calculations'!L$11,"")</f>
        <v>-0.89920602030316754</v>
      </c>
      <c r="AD31">
        <f>IF(Z31&lt;&gt;"",Z31/'DDD Model Calculations'!M$11,"")</f>
        <v>-0.70743149866714761</v>
      </c>
      <c r="AE31">
        <f>IF(AA31&lt;&gt;"",AA31/'DDD Model Calculations'!N$11,"")</f>
        <v>-0.54754173883420276</v>
      </c>
      <c r="AF31">
        <f t="shared" si="8"/>
        <v>1</v>
      </c>
      <c r="AG31">
        <f t="shared" si="9"/>
        <v>1</v>
      </c>
      <c r="AH31">
        <f t="shared" si="10"/>
        <v>1</v>
      </c>
      <c r="AI31">
        <f t="shared" si="11"/>
        <v>1</v>
      </c>
    </row>
    <row r="32" spans="1:35" x14ac:dyDescent="0.4">
      <c r="A32" s="2">
        <v>44835</v>
      </c>
      <c r="B32" s="1">
        <v>29</v>
      </c>
      <c r="C32" s="1">
        <v>558923</v>
      </c>
      <c r="D32" t="str">
        <v>A</v>
      </c>
      <c r="E32">
        <v>5051</v>
      </c>
      <c r="F32">
        <v>615879</v>
      </c>
      <c r="G32">
        <f t="shared" si="12"/>
        <v>5051</v>
      </c>
      <c r="H32" s="2">
        <f t="shared" si="13"/>
        <v>44835</v>
      </c>
      <c r="I32">
        <f t="shared" si="14"/>
        <v>29</v>
      </c>
      <c r="J32">
        <f t="shared" si="15"/>
        <v>945</v>
      </c>
      <c r="K32">
        <f>IF(AND($H33&gt;0,$H33&lt;&gt;""),VLOOKUP($H33,'Weather Data'!$L$2:$P$4170,'DDD Model Calculations'!$D$22,FALSE),"")</f>
        <v>31797.700003311038</v>
      </c>
      <c r="L32">
        <f>IF(AND($K32&gt;0,$K32&lt;&gt;""),VLOOKUP($H32,'Weather Data'!$L$2:$P$4170,'DDD Model Calculations'!$D$22,FALSE),"")</f>
        <v>31853.400003120303</v>
      </c>
      <c r="M32">
        <f t="shared" si="16"/>
        <v>55.699999809265137</v>
      </c>
      <c r="N32">
        <f t="shared" si="0"/>
        <v>174.17241379310346</v>
      </c>
      <c r="O32">
        <f t="shared" si="1"/>
        <v>1.9206896485953495</v>
      </c>
      <c r="P32">
        <f t="shared" si="17"/>
        <v>-3.0793103514046507</v>
      </c>
      <c r="Q32">
        <f t="shared" si="2"/>
        <v>0</v>
      </c>
      <c r="R32">
        <f t="shared" si="3"/>
        <v>3</v>
      </c>
      <c r="S32">
        <f>IF('DDD Model Calculations'!$D$23=1,WorkingData!AF32,IF('DDD Model Calculations'!$D$23=2,WorkingData!AG32,IF('DDD Model Calculations'!$D$23=4,WorkingData!AH32,WorkingData!AI32)))</f>
        <v>0</v>
      </c>
      <c r="T32">
        <f t="shared" si="4"/>
        <v>0</v>
      </c>
      <c r="U32">
        <f t="shared" si="5"/>
        <v>0</v>
      </c>
      <c r="V32">
        <f t="shared" si="6"/>
        <v>1</v>
      </c>
      <c r="W32">
        <f t="shared" si="7"/>
        <v>1</v>
      </c>
      <c r="X32">
        <f>IF(AND($N32&gt;0,$N32&lt;&gt;"",'DDD Model Calculations'!$K$3&gt;=3),$N32-('DDD Model Calculations'!K$13+'DDD Model Calculations'!K$12*WorkingData!$P32),"")</f>
        <v>-443.48738521313589</v>
      </c>
      <c r="Y32">
        <f>IF(AND($N32&gt;0,$N32&lt;&gt;""),$N32-('DDD Model Calculations'!L$13+'DDD Model Calculations'!L$12*WorkingData!$P32),"")</f>
        <v>-405.29184883642688</v>
      </c>
      <c r="Z32">
        <f>IF(AND($N32&gt;0,$N32&lt;&gt;""),$N32-('DDD Model Calculations'!M$13+'DDD Model Calculations'!M$12*WorkingData!$P32),"")</f>
        <v>-347.34828549712483</v>
      </c>
      <c r="AA32">
        <f>IF(AND($N32&gt;0,$N32&lt;&gt;""),$N32-('DDD Model Calculations'!N$13+'DDD Model Calculations'!N$12*WorkingData!$P32),"")</f>
        <v>-312.41629288625631</v>
      </c>
      <c r="AB32">
        <f>IF(X32&lt;&gt;"",X32/'DDD Model Calculations'!K$11,"")</f>
        <v>-1.9820959245848191</v>
      </c>
      <c r="AC32">
        <f>IF(Y32&lt;&gt;"",Y32/'DDD Model Calculations'!L$11,"")</f>
        <v>-2.3057274094617108</v>
      </c>
      <c r="AD32">
        <f>IF(Z32&lt;&gt;"",Z32/'DDD Model Calculations'!M$11,"")</f>
        <v>-2.2633738077560488</v>
      </c>
      <c r="AE32">
        <f>IF(AA32&lt;&gt;"",AA32/'DDD Model Calculations'!N$11,"")</f>
        <v>-2.0747693400806919</v>
      </c>
      <c r="AF32">
        <f t="shared" si="8"/>
        <v>1</v>
      </c>
      <c r="AG32">
        <f t="shared" si="9"/>
        <v>0</v>
      </c>
      <c r="AH32">
        <f t="shared" si="10"/>
        <v>0</v>
      </c>
      <c r="AI32">
        <f t="shared" si="11"/>
        <v>0</v>
      </c>
    </row>
    <row r="33" spans="1:35" x14ac:dyDescent="0.4">
      <c r="A33" s="2">
        <v>44806</v>
      </c>
      <c r="B33" s="1">
        <v>31</v>
      </c>
      <c r="C33" s="1">
        <v>553872</v>
      </c>
      <c r="D33" t="str">
        <v>A</v>
      </c>
      <c r="E33">
        <v>5266</v>
      </c>
      <c r="F33">
        <v>610828</v>
      </c>
      <c r="G33">
        <f t="shared" si="12"/>
        <v>5266</v>
      </c>
      <c r="H33" s="2">
        <f t="shared" si="13"/>
        <v>44806</v>
      </c>
      <c r="I33">
        <f t="shared" si="14"/>
        <v>31</v>
      </c>
      <c r="J33">
        <f t="shared" si="15"/>
        <v>976</v>
      </c>
      <c r="K33">
        <f>IF(AND($H34&gt;0,$H34&lt;&gt;""),VLOOKUP($H34,'Weather Data'!$L$2:$P$4170,'DDD Model Calculations'!$D$22,FALSE),"")</f>
        <v>31797.700003311038</v>
      </c>
      <c r="L33">
        <f>IF(AND($K33&gt;0,$K33&lt;&gt;""),VLOOKUP($H33,'Weather Data'!$L$2:$P$4170,'DDD Model Calculations'!$D$22,FALSE),"")</f>
        <v>31797.700003311038</v>
      </c>
      <c r="M33">
        <f t="shared" si="16"/>
        <v>0</v>
      </c>
      <c r="N33">
        <f t="shared" si="0"/>
        <v>169.87096774193549</v>
      </c>
      <c r="O33">
        <f t="shared" si="1"/>
        <v>0</v>
      </c>
      <c r="P33">
        <f t="shared" si="17"/>
        <v>-5</v>
      </c>
      <c r="Q33">
        <f t="shared" si="2"/>
        <v>0</v>
      </c>
      <c r="R33">
        <f t="shared" si="3"/>
        <v>3</v>
      </c>
      <c r="S33">
        <f>IF('DDD Model Calculations'!$D$23=1,WorkingData!AF33,IF('DDD Model Calculations'!$D$23=2,WorkingData!AG33,IF('DDD Model Calculations'!$D$23=4,WorkingData!AH33,WorkingData!AI33)))</f>
        <v>1</v>
      </c>
      <c r="T33">
        <f t="shared" si="4"/>
        <v>0</v>
      </c>
      <c r="U33">
        <f t="shared" si="5"/>
        <v>0</v>
      </c>
      <c r="V33">
        <f t="shared" si="6"/>
        <v>1</v>
      </c>
      <c r="W33">
        <f t="shared" si="7"/>
        <v>1</v>
      </c>
      <c r="X33">
        <f>IF(AND($N33&gt;0,$N33&lt;&gt;"",'DDD Model Calculations'!$K$3&gt;=3),$N33-('DDD Model Calculations'!K$13+'DDD Model Calculations'!K$12*WorkingData!$P33),"")</f>
        <v>-375.7706211794972</v>
      </c>
      <c r="Y33">
        <f>IF(AND($N33&gt;0,$N33&lt;&gt;""),$N33-('DDD Model Calculations'!L$13+'DDD Model Calculations'!L$12*WorkingData!$P33),"")</f>
        <v>-332.51432502608259</v>
      </c>
      <c r="Z33">
        <f>IF(AND($N33&gt;0,$N33&lt;&gt;""),$N33-('DDD Model Calculations'!M$13+'DDD Model Calculations'!M$12*WorkingData!$P33),"")</f>
        <v>-271.75939576774613</v>
      </c>
      <c r="AA33">
        <f>IF(AND($N33&gt;0,$N33&lt;&gt;""),$N33-('DDD Model Calculations'!N$13+'DDD Model Calculations'!N$12*WorkingData!$P33),"")</f>
        <v>-233.8949875097004</v>
      </c>
      <c r="AB33">
        <f>IF(X33&lt;&gt;"",X33/'DDD Model Calculations'!K$11,"")</f>
        <v>-1.6794466802266246</v>
      </c>
      <c r="AC33">
        <f>IF(Y33&lt;&gt;"",Y33/'DDD Model Calculations'!L$11,"")</f>
        <v>-1.8916921113820098</v>
      </c>
      <c r="AD33">
        <f>IF(Z33&lt;&gt;"",Z33/'DDD Model Calculations'!M$11,"")</f>
        <v>-1.7708252036194894</v>
      </c>
      <c r="AE33">
        <f>IF(AA33&lt;&gt;"",AA33/'DDD Model Calculations'!N$11,"")</f>
        <v>-1.553306149306245</v>
      </c>
      <c r="AF33">
        <f t="shared" si="8"/>
        <v>1</v>
      </c>
      <c r="AG33">
        <f t="shared" si="9"/>
        <v>1</v>
      </c>
      <c r="AH33">
        <f t="shared" si="10"/>
        <v>1</v>
      </c>
      <c r="AI33">
        <f t="shared" si="11"/>
        <v>1</v>
      </c>
    </row>
    <row r="34" spans="1:35" x14ac:dyDescent="0.4">
      <c r="A34" s="2">
        <v>44775</v>
      </c>
      <c r="B34" s="1">
        <v>25</v>
      </c>
      <c r="C34" s="1">
        <v>548606</v>
      </c>
      <c r="D34" t="str">
        <v>A</v>
      </c>
      <c r="E34">
        <v>4629</v>
      </c>
      <c r="F34">
        <v>605562</v>
      </c>
      <c r="G34">
        <f t="shared" si="12"/>
        <v>4629</v>
      </c>
      <c r="H34" s="2">
        <f t="shared" si="13"/>
        <v>44775</v>
      </c>
      <c r="I34">
        <f t="shared" si="14"/>
        <v>25</v>
      </c>
      <c r="J34">
        <f t="shared" si="15"/>
        <v>1001</v>
      </c>
      <c r="K34">
        <f>IF(AND($H35&gt;0,$H35&lt;&gt;""),VLOOKUP($H35,'Weather Data'!$L$2:$P$4170,'DDD Model Calculations'!$D$22,FALSE),"")</f>
        <v>31797.700003311038</v>
      </c>
      <c r="L34">
        <f>IF(AND($K34&gt;0,$K34&lt;&gt;""),VLOOKUP($H34,'Weather Data'!$L$2:$P$4170,'DDD Model Calculations'!$D$22,FALSE),"")</f>
        <v>31797.700003311038</v>
      </c>
      <c r="M34">
        <f t="shared" si="16"/>
        <v>0</v>
      </c>
      <c r="N34">
        <f t="shared" ref="N34:N65" si="18">IF(AND($I34&gt;0,$I34&lt;&gt;""),G34/$I34,"")</f>
        <v>185.16</v>
      </c>
      <c r="O34">
        <f t="shared" ref="O34:O65" si="19">IF(AND($I34&gt;0,$I34&lt;&gt;""),$M34/$I34,"")</f>
        <v>0</v>
      </c>
      <c r="P34">
        <f t="shared" si="17"/>
        <v>-5</v>
      </c>
      <c r="Q34">
        <f t="shared" ref="Q34:Q65" si="20">IF(P34="","",IF(P34&gt;=0,1,0))</f>
        <v>0</v>
      </c>
      <c r="R34">
        <f t="shared" si="3"/>
        <v>3</v>
      </c>
      <c r="S34">
        <f>IF('DDD Model Calculations'!$D$23=1,WorkingData!AF34,IF('DDD Model Calculations'!$D$23=2,WorkingData!AG34,IF('DDD Model Calculations'!$D$23=4,WorkingData!AH34,WorkingData!AI34)))</f>
        <v>1</v>
      </c>
      <c r="T34">
        <f t="shared" ref="T34:T65" si="21">IF($R34&lt;&gt;"",IF($R34=1,1,0),"")</f>
        <v>0</v>
      </c>
      <c r="U34">
        <f t="shared" ref="U34:U65" si="22">IF($R34&lt;&gt;"",IF($R34&lt;=2,1,0),"")</f>
        <v>0</v>
      </c>
      <c r="V34">
        <f t="shared" ref="V34:V65" si="23">IF($R34&lt;&gt;"",IF($R34&lt;=4,1,0),"")</f>
        <v>1</v>
      </c>
      <c r="W34">
        <f t="shared" ref="W34:W65" si="24">IF($R34&lt;&gt;"",IF($R34&lt;=10,1,0),"")</f>
        <v>1</v>
      </c>
      <c r="X34">
        <f>IF(AND($N34&gt;0,$N34&lt;&gt;"",'DDD Model Calculations'!$K$3&gt;=3),$N34-('DDD Model Calculations'!K$13+'DDD Model Calculations'!K$12*WorkingData!$P34),"")</f>
        <v>-360.48158892143272</v>
      </c>
      <c r="Y34">
        <f>IF(AND($N34&gt;0,$N34&lt;&gt;""),$N34-('DDD Model Calculations'!L$13+'DDD Model Calculations'!L$12*WorkingData!$P34),"")</f>
        <v>-317.22529276801811</v>
      </c>
      <c r="Z34">
        <f>IF(AND($N34&gt;0,$N34&lt;&gt;""),$N34-('DDD Model Calculations'!M$13+'DDD Model Calculations'!M$12*WorkingData!$P34),"")</f>
        <v>-256.47036350968165</v>
      </c>
      <c r="AA34">
        <f>IF(AND($N34&gt;0,$N34&lt;&gt;""),$N34-('DDD Model Calculations'!N$13+'DDD Model Calculations'!N$12*WorkingData!$P34),"")</f>
        <v>-218.60595525163589</v>
      </c>
      <c r="AB34">
        <f>IF(X34&lt;&gt;"",X34/'DDD Model Calculations'!K$11,"")</f>
        <v>-1.6111147962994381</v>
      </c>
      <c r="AC34">
        <f>IF(Y34&lt;&gt;"",Y34/'DDD Model Calculations'!L$11,"")</f>
        <v>-1.804711973876725</v>
      </c>
      <c r="AD34">
        <f>IF(Z34&lt;&gt;"",Z34/'DDD Model Calculations'!M$11,"")</f>
        <v>-1.671199563869133</v>
      </c>
      <c r="AE34">
        <f>IF(AA34&lt;&gt;"",AA34/'DDD Model Calculations'!N$11,"")</f>
        <v>-1.4517710626579763</v>
      </c>
      <c r="AF34">
        <f t="shared" ref="AF34:AF65" si="25">IF(AB34="","",IF(ABS(AB34)&gt;2,0,1))</f>
        <v>1</v>
      </c>
      <c r="AG34">
        <f t="shared" ref="AG34:AG65" si="26">IF(AC34="","",IF(ABS(AC34)&gt;2,0,1))</f>
        <v>1</v>
      </c>
      <c r="AH34">
        <f t="shared" ref="AH34:AH65" si="27">IF(AD34="","",IF(ABS(AD34)&gt;2,0,1))</f>
        <v>1</v>
      </c>
      <c r="AI34">
        <f t="shared" ref="AI34:AI65" si="28">IF(AE34="","",IF(ABS(AE34)&gt;2,0,1))</f>
        <v>1</v>
      </c>
    </row>
    <row r="35" spans="1:35" x14ac:dyDescent="0.4">
      <c r="A35" s="2">
        <v>44750</v>
      </c>
      <c r="B35" s="1">
        <v>32</v>
      </c>
      <c r="C35" s="1">
        <v>543977</v>
      </c>
      <c r="D35" t="str">
        <v>A</v>
      </c>
      <c r="E35">
        <v>6719</v>
      </c>
      <c r="F35">
        <v>600933</v>
      </c>
      <c r="G35">
        <f t="shared" si="12"/>
        <v>6719</v>
      </c>
      <c r="H35" s="2">
        <f t="shared" si="13"/>
        <v>44750</v>
      </c>
      <c r="I35">
        <f t="shared" si="14"/>
        <v>32</v>
      </c>
      <c r="J35">
        <f t="shared" ref="J35:J66" si="29">IF(AND(I35&gt;0,I35&lt;&gt;""),I35+J34,"")</f>
        <v>1033</v>
      </c>
      <c r="K35">
        <f>IF(AND($H36&gt;0,$H36&lt;&gt;""),VLOOKUP($H36,'Weather Data'!$L$2:$P$4170,'DDD Model Calculations'!$D$22,FALSE),"")</f>
        <v>31787.500003501773</v>
      </c>
      <c r="L35">
        <f>IF(AND($K35&gt;0,$K35&lt;&gt;""),VLOOKUP($H35,'Weather Data'!$L$2:$P$4170,'DDD Model Calculations'!$D$22,FALSE),"")</f>
        <v>31797.700003311038</v>
      </c>
      <c r="M35">
        <f t="shared" ref="M35:M66" si="30">IF(AND(K35&gt;0,K35&lt;&gt;""),L35-K35,"")</f>
        <v>10.199999809265137</v>
      </c>
      <c r="N35">
        <f t="shared" si="18"/>
        <v>209.96875</v>
      </c>
      <c r="O35">
        <f t="shared" si="19"/>
        <v>0.31874999403953552</v>
      </c>
      <c r="P35">
        <f t="shared" ref="P35:P66" si="31">IF(AND($I35&gt;0,$I35&lt;&gt;""),M35/$I35-5,"")</f>
        <v>-4.6812500059604645</v>
      </c>
      <c r="Q35">
        <f t="shared" si="20"/>
        <v>0</v>
      </c>
      <c r="R35">
        <f t="shared" si="3"/>
        <v>3</v>
      </c>
      <c r="S35">
        <f>IF('DDD Model Calculations'!$D$23=1,WorkingData!AF35,IF('DDD Model Calculations'!$D$23=2,WorkingData!AG35,IF('DDD Model Calculations'!$D$23=4,WorkingData!AH35,WorkingData!AI35)))</f>
        <v>1</v>
      </c>
      <c r="T35">
        <f t="shared" si="21"/>
        <v>0</v>
      </c>
      <c r="U35">
        <f t="shared" si="22"/>
        <v>0</v>
      </c>
      <c r="V35">
        <f t="shared" si="23"/>
        <v>1</v>
      </c>
      <c r="W35">
        <f t="shared" si="24"/>
        <v>1</v>
      </c>
      <c r="X35">
        <f>IF(AND($N35&gt;0,$N35&lt;&gt;"",'DDD Model Calculations'!$K$3&gt;=3),$N35-('DDD Model Calculations'!K$13+'DDD Model Calculations'!K$12*WorkingData!$P35),"")</f>
        <v>-347.62469384607311</v>
      </c>
      <c r="Y35">
        <f>IF(AND($N35&gt;0,$N35&lt;&gt;""),$N35-('DDD Model Calculations'!L$13+'DDD Model Calculations'!L$12*WorkingData!$P35),"")</f>
        <v>-305.20826120201832</v>
      </c>
      <c r="Z35">
        <f>IF(AND($N35&gt;0,$N35&lt;&gt;""),$N35-('DDD Model Calculations'!M$13+'DDD Model Calculations'!M$12*WorkingData!$P35),"")</f>
        <v>-244.91989501939304</v>
      </c>
      <c r="AA35">
        <f>IF(AND($N35&gt;0,$N35&lt;&gt;""),$N35-('DDD Model Calculations'!N$13+'DDD Model Calculations'!N$12*WorkingData!$P35),"")</f>
        <v>-207.54213876717381</v>
      </c>
      <c r="AB35">
        <f>IF(X35&lt;&gt;"",X35/'DDD Model Calculations'!K$11,"")</f>
        <v>-1.5536529604471336</v>
      </c>
      <c r="AC35">
        <f>IF(Y35&lt;&gt;"",Y35/'DDD Model Calculations'!L$11,"")</f>
        <v>-1.7363464265763275</v>
      </c>
      <c r="AD35">
        <f>IF(Z35&lt;&gt;"",Z35/'DDD Model Calculations'!M$11,"")</f>
        <v>-1.5959349693978666</v>
      </c>
      <c r="AE35">
        <f>IF(AA35&lt;&gt;"",AA35/'DDD Model Calculations'!N$11,"")</f>
        <v>-1.3782958062487385</v>
      </c>
      <c r="AF35">
        <f t="shared" si="25"/>
        <v>1</v>
      </c>
      <c r="AG35">
        <f t="shared" si="26"/>
        <v>1</v>
      </c>
      <c r="AH35">
        <f t="shared" si="27"/>
        <v>1</v>
      </c>
      <c r="AI35">
        <f t="shared" si="28"/>
        <v>1</v>
      </c>
    </row>
    <row r="36" spans="1:35" x14ac:dyDescent="0.4">
      <c r="A36" s="2">
        <v>44718</v>
      </c>
      <c r="B36" s="1">
        <v>35</v>
      </c>
      <c r="C36" s="1">
        <v>537258</v>
      </c>
      <c r="D36" t="str">
        <v>A</v>
      </c>
      <c r="E36">
        <v>14252</v>
      </c>
      <c r="F36">
        <v>594214</v>
      </c>
      <c r="G36">
        <f t="shared" si="12"/>
        <v>14252</v>
      </c>
      <c r="H36" s="2">
        <f t="shared" si="13"/>
        <v>44718</v>
      </c>
      <c r="I36">
        <f t="shared" si="14"/>
        <v>35</v>
      </c>
      <c r="J36">
        <f t="shared" si="29"/>
        <v>1068</v>
      </c>
      <c r="K36">
        <f>IF(AND($H37&gt;0,$H37&lt;&gt;""),VLOOKUP($H37,'Weather Data'!$L$2:$P$4170,'DDD Model Calculations'!$D$22,FALSE),"")</f>
        <v>31689.600003883243</v>
      </c>
      <c r="L36">
        <f>IF(AND($K36&gt;0,$K36&lt;&gt;""),VLOOKUP($H36,'Weather Data'!$L$2:$P$4170,'DDD Model Calculations'!$D$22,FALSE),"")</f>
        <v>31787.500003501773</v>
      </c>
      <c r="M36">
        <f t="shared" si="30"/>
        <v>97.899999618530273</v>
      </c>
      <c r="N36">
        <f t="shared" si="18"/>
        <v>407.2</v>
      </c>
      <c r="O36">
        <f t="shared" si="19"/>
        <v>2.7971428462437222</v>
      </c>
      <c r="P36">
        <f t="shared" si="31"/>
        <v>-2.2028571537562778</v>
      </c>
      <c r="Q36">
        <f t="shared" si="20"/>
        <v>0</v>
      </c>
      <c r="R36">
        <f t="shared" si="3"/>
        <v>3</v>
      </c>
      <c r="S36">
        <f>IF('DDD Model Calculations'!$D$23=1,WorkingData!AF36,IF('DDD Model Calculations'!$D$23=2,WorkingData!AG36,IF('DDD Model Calculations'!$D$23=4,WorkingData!AH36,WorkingData!AI36)))</f>
        <v>1</v>
      </c>
      <c r="T36">
        <f t="shared" si="21"/>
        <v>0</v>
      </c>
      <c r="U36">
        <f t="shared" si="22"/>
        <v>0</v>
      </c>
      <c r="V36">
        <f t="shared" si="23"/>
        <v>1</v>
      </c>
      <c r="W36">
        <f t="shared" si="24"/>
        <v>1</v>
      </c>
      <c r="X36">
        <f>IF(AND($N36&gt;0,$N36&lt;&gt;"",'DDD Model Calculations'!$K$3&gt;=3),$N36-('DDD Model Calculations'!K$13+'DDD Model Calculations'!K$12*WorkingData!$P36),"")</f>
        <v>-243.32330226086611</v>
      </c>
      <c r="Y36">
        <f>IF(AND($N36&gt;0,$N36&lt;&gt;""),$N36-('DDD Model Calculations'!L$13+'DDD Model Calculations'!L$12*WorkingData!$P36),"")</f>
        <v>-207.43710258103982</v>
      </c>
      <c r="Z36">
        <f>IF(AND($N36&gt;0,$N36&lt;&gt;""),$N36-('DDD Model Calculations'!M$13+'DDD Model Calculations'!M$12*WorkingData!$P36),"")</f>
        <v>-150.77642773509712</v>
      </c>
      <c r="AA36">
        <f>IF(AND($N36&gt;0,$N36&lt;&gt;""),$N36-('DDD Model Calculations'!N$13+'DDD Model Calculations'!N$12*WorkingData!$P36),"")</f>
        <v>-117.1825612877563</v>
      </c>
      <c r="AB36">
        <f>IF(X36&lt;&gt;"",X36/'DDD Model Calculations'!K$11,"")</f>
        <v>-1.0874945756033143</v>
      </c>
      <c r="AC36">
        <f>IF(Y36&lt;&gt;"",Y36/'DDD Model Calculations'!L$11,"")</f>
        <v>-1.1801209783359354</v>
      </c>
      <c r="AD36">
        <f>IF(Z36&lt;&gt;"",Z36/'DDD Model Calculations'!M$11,"")</f>
        <v>-0.98248193991867649</v>
      </c>
      <c r="AE36">
        <f>IF(AA36&lt;&gt;"",AA36/'DDD Model Calculations'!N$11,"")</f>
        <v>-0.7782141677242177</v>
      </c>
      <c r="AF36">
        <f t="shared" si="25"/>
        <v>1</v>
      </c>
      <c r="AG36">
        <f t="shared" si="26"/>
        <v>1</v>
      </c>
      <c r="AH36">
        <f t="shared" si="27"/>
        <v>1</v>
      </c>
      <c r="AI36">
        <f t="shared" si="28"/>
        <v>1</v>
      </c>
    </row>
    <row r="37" spans="1:35" x14ac:dyDescent="0.4">
      <c r="A37" s="2">
        <v>44683</v>
      </c>
      <c r="B37" s="1">
        <v>28</v>
      </c>
      <c r="C37" s="1">
        <v>523006</v>
      </c>
      <c r="D37" t="str">
        <v>A</v>
      </c>
      <c r="E37">
        <v>26821</v>
      </c>
      <c r="F37">
        <v>579962</v>
      </c>
      <c r="G37">
        <f t="shared" si="12"/>
        <v>26821</v>
      </c>
      <c r="H37" s="2">
        <f t="shared" si="13"/>
        <v>44683</v>
      </c>
      <c r="I37">
        <f t="shared" si="14"/>
        <v>28</v>
      </c>
      <c r="J37">
        <f t="shared" si="29"/>
        <v>1096</v>
      </c>
      <c r="K37">
        <f>IF(AND($H38&gt;0,$H38&lt;&gt;""),VLOOKUP($H38,'Weather Data'!$L$2:$P$4170,'DDD Model Calculations'!$D$22,FALSE),"")</f>
        <v>31395.700003549457</v>
      </c>
      <c r="L37">
        <f>IF(AND($K37&gt;0,$K37&lt;&gt;""),VLOOKUP($H37,'Weather Data'!$L$2:$P$4170,'DDD Model Calculations'!$D$22,FALSE),"")</f>
        <v>31689.600003883243</v>
      </c>
      <c r="M37">
        <f t="shared" si="30"/>
        <v>293.90000033378601</v>
      </c>
      <c r="N37">
        <f t="shared" si="18"/>
        <v>957.89285714285711</v>
      </c>
      <c r="O37">
        <f t="shared" si="19"/>
        <v>10.4964285833495</v>
      </c>
      <c r="P37">
        <f t="shared" si="31"/>
        <v>5.4964285833495001</v>
      </c>
      <c r="Q37">
        <f t="shared" si="20"/>
        <v>1</v>
      </c>
      <c r="R37">
        <f t="shared" si="3"/>
        <v>3</v>
      </c>
      <c r="S37">
        <f>IF('DDD Model Calculations'!$D$23=1,WorkingData!AF37,IF('DDD Model Calculations'!$D$23=2,WorkingData!AG37,IF('DDD Model Calculations'!$D$23=4,WorkingData!AH37,WorkingData!AI37)))</f>
        <v>1</v>
      </c>
      <c r="T37">
        <f t="shared" si="21"/>
        <v>0</v>
      </c>
      <c r="U37">
        <f t="shared" si="22"/>
        <v>0</v>
      </c>
      <c r="V37">
        <f t="shared" si="23"/>
        <v>1</v>
      </c>
      <c r="W37">
        <f t="shared" si="24"/>
        <v>1</v>
      </c>
      <c r="X37">
        <f>IF(AND($N37&gt;0,$N37&lt;&gt;"",'DDD Model Calculations'!$K$3&gt;=3),$N37-('DDD Model Calculations'!K$13+'DDD Model Calculations'!K$12*WorkingData!$P37),"")</f>
        <v>18.677012532240951</v>
      </c>
      <c r="Y37">
        <f>IF(AND($N37&gt;0,$N37&lt;&gt;""),$N37-('DDD Model Calculations'!L$13+'DDD Model Calculations'!L$12*WorkingData!$P37),"")</f>
        <v>34.276626299447457</v>
      </c>
      <c r="Z37">
        <f>IF(AND($N37&gt;0,$N37&lt;&gt;""),$N37-('DDD Model Calculations'!M$13+'DDD Model Calculations'!M$12*WorkingData!$P37),"")</f>
        <v>79.667646238864336</v>
      </c>
      <c r="AA37">
        <f>IF(AND($N37&gt;0,$N37&lt;&gt;""),$N37-('DDD Model Calculations'!N$13+'DDD Model Calculations'!N$12*WorkingData!$P37),"")</f>
        <v>101.50661725888381</v>
      </c>
      <c r="AB37">
        <f>IF(X37&lt;&gt;"",X37/'DDD Model Calculations'!K$11,"")</f>
        <v>8.3473919795448284E-2</v>
      </c>
      <c r="AC37">
        <f>IF(Y37&lt;&gt;"",Y37/'DDD Model Calculations'!L$11,"")</f>
        <v>0.19500159450383903</v>
      </c>
      <c r="AD37">
        <f>IF(Z37&lt;&gt;"",Z37/'DDD Model Calculations'!M$11,"")</f>
        <v>0.51912639662104454</v>
      </c>
      <c r="AE37">
        <f>IF(AA37&lt;&gt;"",AA37/'DDD Model Calculations'!N$11,"")</f>
        <v>0.67410958422937772</v>
      </c>
      <c r="AF37">
        <f t="shared" si="25"/>
        <v>1</v>
      </c>
      <c r="AG37">
        <f t="shared" si="26"/>
        <v>1</v>
      </c>
      <c r="AH37">
        <f t="shared" si="27"/>
        <v>1</v>
      </c>
      <c r="AI37">
        <f t="shared" si="28"/>
        <v>1</v>
      </c>
    </row>
    <row r="38" spans="1:35" x14ac:dyDescent="0.4">
      <c r="A38" s="2">
        <v>44655</v>
      </c>
      <c r="B38" s="1">
        <v>34</v>
      </c>
      <c r="C38" s="1">
        <v>496185</v>
      </c>
      <c r="D38" t="str">
        <v>A</v>
      </c>
      <c r="E38">
        <v>39070</v>
      </c>
      <c r="F38">
        <v>553141</v>
      </c>
      <c r="G38">
        <f t="shared" si="12"/>
        <v>39070</v>
      </c>
      <c r="H38" s="2">
        <f t="shared" si="13"/>
        <v>44655</v>
      </c>
      <c r="I38">
        <f t="shared" si="14"/>
        <v>34</v>
      </c>
      <c r="J38">
        <f t="shared" si="29"/>
        <v>1130</v>
      </c>
      <c r="K38">
        <f>IF(AND($H39&gt;0,$H39&lt;&gt;""),VLOOKUP($H39,'Weather Data'!$L$2:$P$4170,'DDD Model Calculations'!$D$22,FALSE),"")</f>
        <v>30824.900003768504</v>
      </c>
      <c r="L38">
        <f>IF(AND($K38&gt;0,$K38&lt;&gt;""),VLOOKUP($H38,'Weather Data'!$L$2:$P$4170,'DDD Model Calculations'!$D$22,FALSE),"")</f>
        <v>31395.700003549457</v>
      </c>
      <c r="M38">
        <f t="shared" si="30"/>
        <v>570.79999978095293</v>
      </c>
      <c r="N38">
        <f t="shared" si="18"/>
        <v>1149.1176470588234</v>
      </c>
      <c r="O38">
        <f t="shared" si="19"/>
        <v>16.788235287675086</v>
      </c>
      <c r="P38">
        <f t="shared" si="31"/>
        <v>11.788235287675086</v>
      </c>
      <c r="Q38">
        <f t="shared" si="20"/>
        <v>1</v>
      </c>
      <c r="R38">
        <f t="shared" si="3"/>
        <v>4</v>
      </c>
      <c r="S38">
        <f>IF('DDD Model Calculations'!$D$23=1,WorkingData!AF38,IF('DDD Model Calculations'!$D$23=2,WorkingData!AG38,IF('DDD Model Calculations'!$D$23=4,WorkingData!AH38,WorkingData!AI38)))</f>
        <v>1</v>
      </c>
      <c r="T38">
        <f t="shared" si="21"/>
        <v>0</v>
      </c>
      <c r="U38">
        <f t="shared" si="22"/>
        <v>0</v>
      </c>
      <c r="V38">
        <f t="shared" si="23"/>
        <v>1</v>
      </c>
      <c r="W38">
        <f t="shared" si="24"/>
        <v>1</v>
      </c>
      <c r="X38">
        <f>IF(AND($N38&gt;0,$N38&lt;&gt;"",'DDD Model Calculations'!$K$3&gt;=3),$N38-('DDD Model Calculations'!K$13+'DDD Model Calculations'!K$12*WorkingData!$P38),"")</f>
        <v>-26.015883356210452</v>
      </c>
      <c r="Y38">
        <f>IF(AND($N38&gt;0,$N38&lt;&gt;""),$N38-('DDD Model Calculations'!L$13+'DDD Model Calculations'!L$12*WorkingData!$P38),"")</f>
        <v>-26.994336907346906</v>
      </c>
      <c r="Z38">
        <f>IF(AND($N38&gt;0,$N38&lt;&gt;""),$N38-('DDD Model Calculations'!M$13+'DDD Model Calculations'!M$12*WorkingData!$P38),"")</f>
        <v>9.1871936433867631</v>
      </c>
      <c r="AA38">
        <f>IF(AND($N38&gt;0,$N38&lt;&gt;""),$N38-('DDD Model Calculations'!N$13+'DDD Model Calculations'!N$12*WorkingData!$P38),"")</f>
        <v>21.420139847126393</v>
      </c>
      <c r="AB38">
        <f>IF(X38&lt;&gt;"",X38/'DDD Model Calculations'!K$11,"")</f>
        <v>-0.11627382896141823</v>
      </c>
      <c r="AC38">
        <f>IF(Y38&lt;&gt;"",Y38/'DDD Model Calculations'!L$11,"")</f>
        <v>-0.15357225339272471</v>
      </c>
      <c r="AD38">
        <f>IF(Z38&lt;&gt;"",Z38/'DDD Model Calculations'!M$11,"")</f>
        <v>5.9865139191529387E-2</v>
      </c>
      <c r="AE38">
        <f>IF(AA38&lt;&gt;"",AA38/'DDD Model Calculations'!N$11,"")</f>
        <v>0.14225202214802168</v>
      </c>
      <c r="AF38">
        <f t="shared" si="25"/>
        <v>1</v>
      </c>
      <c r="AG38">
        <f t="shared" si="26"/>
        <v>1</v>
      </c>
      <c r="AH38">
        <f t="shared" si="27"/>
        <v>1</v>
      </c>
      <c r="AI38">
        <f t="shared" si="28"/>
        <v>1</v>
      </c>
    </row>
    <row r="39" spans="1:35" x14ac:dyDescent="0.4">
      <c r="A39" s="2">
        <v>44621</v>
      </c>
      <c r="B39" s="1">
        <v>28</v>
      </c>
      <c r="C39" s="1">
        <v>457115</v>
      </c>
      <c r="D39" t="str">
        <v>A</v>
      </c>
      <c r="E39">
        <v>35554</v>
      </c>
      <c r="F39">
        <v>514071</v>
      </c>
      <c r="G39">
        <f t="shared" si="12"/>
        <v>35554</v>
      </c>
      <c r="H39" s="2">
        <f t="shared" si="13"/>
        <v>44621</v>
      </c>
      <c r="I39">
        <f t="shared" si="14"/>
        <v>28</v>
      </c>
      <c r="J39">
        <f t="shared" si="29"/>
        <v>1158</v>
      </c>
      <c r="K39">
        <f>IF(AND($H40&gt;0,$H40&lt;&gt;""),VLOOKUP($H40,'Weather Data'!$L$2:$P$4170,'DDD Model Calculations'!$D$22,FALSE),"")</f>
        <v>30207.800003446639</v>
      </c>
      <c r="L39">
        <f>IF(AND($K39&gt;0,$K39&lt;&gt;""),VLOOKUP($H39,'Weather Data'!$L$2:$P$4170,'DDD Model Calculations'!$D$22,FALSE),"")</f>
        <v>30824.900003768504</v>
      </c>
      <c r="M39">
        <f t="shared" si="30"/>
        <v>617.10000032186508</v>
      </c>
      <c r="N39">
        <f t="shared" si="18"/>
        <v>1269.7857142857142</v>
      </c>
      <c r="O39">
        <f t="shared" si="19"/>
        <v>22.039285725780896</v>
      </c>
      <c r="P39">
        <f t="shared" si="31"/>
        <v>17.039285725780896</v>
      </c>
      <c r="Q39">
        <f t="shared" si="20"/>
        <v>1</v>
      </c>
      <c r="R39">
        <f t="shared" si="3"/>
        <v>4</v>
      </c>
      <c r="S39">
        <f>IF('DDD Model Calculations'!$D$23=1,WorkingData!AF39,IF('DDD Model Calculations'!$D$23=2,WorkingData!AG39,IF('DDD Model Calculations'!$D$23=4,WorkingData!AH39,WorkingData!AI39)))</f>
        <v>1</v>
      </c>
      <c r="T39">
        <f t="shared" si="21"/>
        <v>0</v>
      </c>
      <c r="U39">
        <f t="shared" si="22"/>
        <v>0</v>
      </c>
      <c r="V39">
        <f t="shared" si="23"/>
        <v>1</v>
      </c>
      <c r="W39">
        <f t="shared" si="24"/>
        <v>1</v>
      </c>
      <c r="X39">
        <f>IF(AND($N39&gt;0,$N39&lt;&gt;"",'DDD Model Calculations'!$K$3&gt;=3),$N39-('DDD Model Calculations'!K$13+'DDD Model Calculations'!K$12*WorkingData!$P39),"")</f>
        <v>-102.24128816629718</v>
      </c>
      <c r="Y39">
        <f>IF(AND($N39&gt;0,$N39&lt;&gt;""),$N39-('DDD Model Calculations'!L$13+'DDD Model Calculations'!L$12*WorkingData!$P39),"")</f>
        <v>-117.05555577622908</v>
      </c>
      <c r="Z39">
        <f>IF(AND($N39&gt;0,$N39&lt;&gt;""),$N39-('DDD Model Calculations'!M$13+'DDD Model Calculations'!M$12*WorkingData!$P39),"")</f>
        <v>-88.56013122998047</v>
      </c>
      <c r="AA39">
        <f>IF(AND($N39&gt;0,$N39&lt;&gt;""),$N39-('DDD Model Calculations'!N$13+'DDD Model Calculations'!N$12*WorkingData!$P39),"")</f>
        <v>-84.34423373584309</v>
      </c>
      <c r="AB39">
        <f>IF(X39&lt;&gt;"",X39/'DDD Model Calculations'!K$11,"")</f>
        <v>-0.45695108216286029</v>
      </c>
      <c r="AC39">
        <f>IF(Y39&lt;&gt;"",Y39/'DDD Model Calculations'!L$11,"")</f>
        <v>-0.66593543432440117</v>
      </c>
      <c r="AD39">
        <f>IF(Z39&lt;&gt;"",Z39/'DDD Model Calculations'!M$11,"")</f>
        <v>-0.57707116979287765</v>
      </c>
      <c r="AE39">
        <f>IF(AA39&lt;&gt;"",AA39/'DDD Model Calculations'!N$11,"")</f>
        <v>-0.56013349544301283</v>
      </c>
      <c r="AF39">
        <f t="shared" si="25"/>
        <v>1</v>
      </c>
      <c r="AG39">
        <f t="shared" si="26"/>
        <v>1</v>
      </c>
      <c r="AH39">
        <f t="shared" si="27"/>
        <v>1</v>
      </c>
      <c r="AI39">
        <f t="shared" si="28"/>
        <v>1</v>
      </c>
    </row>
    <row r="40" spans="1:35" x14ac:dyDescent="0.4">
      <c r="A40" s="2">
        <v>44593</v>
      </c>
      <c r="B40" s="1">
        <v>27</v>
      </c>
      <c r="C40" s="1">
        <v>421561</v>
      </c>
      <c r="D40" t="str">
        <v>A</v>
      </c>
      <c r="E40">
        <v>35909</v>
      </c>
      <c r="F40">
        <v>478517</v>
      </c>
      <c r="G40">
        <f t="shared" si="12"/>
        <v>35909</v>
      </c>
      <c r="H40" s="2">
        <f t="shared" si="13"/>
        <v>44593</v>
      </c>
      <c r="I40">
        <f t="shared" si="14"/>
        <v>27</v>
      </c>
      <c r="J40">
        <f t="shared" si="29"/>
        <v>1185</v>
      </c>
      <c r="K40">
        <f>IF(AND($H41&gt;0,$H41&lt;&gt;""),VLOOKUP($H41,'Weather Data'!$L$2:$P$4170,'DDD Model Calculations'!$D$22,FALSE),"")</f>
        <v>29484.60000423342</v>
      </c>
      <c r="L40">
        <f>IF(AND($K40&gt;0,$K40&lt;&gt;""),VLOOKUP($H40,'Weather Data'!$L$2:$P$4170,'DDD Model Calculations'!$D$22,FALSE),"")</f>
        <v>30207.800003446639</v>
      </c>
      <c r="M40">
        <f t="shared" si="30"/>
        <v>723.19999921321869</v>
      </c>
      <c r="N40">
        <f t="shared" si="18"/>
        <v>1329.962962962963</v>
      </c>
      <c r="O40">
        <f t="shared" si="19"/>
        <v>26.785185156045138</v>
      </c>
      <c r="P40">
        <f t="shared" si="31"/>
        <v>21.785185156045138</v>
      </c>
      <c r="Q40">
        <f t="shared" si="20"/>
        <v>1</v>
      </c>
      <c r="R40">
        <f t="shared" si="3"/>
        <v>4</v>
      </c>
      <c r="S40">
        <f>IF('DDD Model Calculations'!$D$23=1,WorkingData!AF40,IF('DDD Model Calculations'!$D$23=2,WorkingData!AG40,IF('DDD Model Calculations'!$D$23=4,WorkingData!AH40,WorkingData!AI40)))</f>
        <v>1</v>
      </c>
      <c r="T40">
        <f t="shared" si="21"/>
        <v>0</v>
      </c>
      <c r="U40">
        <f t="shared" si="22"/>
        <v>0</v>
      </c>
      <c r="V40">
        <f t="shared" si="23"/>
        <v>1</v>
      </c>
      <c r="W40">
        <f t="shared" si="24"/>
        <v>1</v>
      </c>
      <c r="X40">
        <f>IF(AND($N40&gt;0,$N40&lt;&gt;"",'DDD Model Calculations'!$K$3&gt;=3),$N40-('DDD Model Calculations'!K$13+'DDD Model Calculations'!K$12*WorkingData!$P40),"")</f>
        <v>-220.01636117729981</v>
      </c>
      <c r="Y40">
        <f>IF(AND($N40&gt;0,$N40&lt;&gt;""),$N40-('DDD Model Calculations'!L$13+'DDD Model Calculations'!L$12*WorkingData!$P40),"")</f>
        <v>-247.33543765030709</v>
      </c>
      <c r="Z40">
        <f>IF(AND($N40&gt;0,$N40&lt;&gt;""),$N40-('DDD Model Calculations'!M$13+'DDD Model Calculations'!M$12*WorkingData!$P40),"")</f>
        <v>-225.78671577576097</v>
      </c>
      <c r="AA40">
        <f>IF(AND($N40&gt;0,$N40&lt;&gt;""),$N40-('DDD Model Calculations'!N$13+'DDD Model Calculations'!N$12*WorkingData!$P40),"")</f>
        <v>-228.81662697300408</v>
      </c>
      <c r="AB40">
        <f>IF(X40&lt;&gt;"",X40/'DDD Model Calculations'!K$11,"")</f>
        <v>-0.98332793078640801</v>
      </c>
      <c r="AC40">
        <f>IF(Y40&lt;&gt;"",Y40/'DDD Model Calculations'!L$11,"")</f>
        <v>-1.4071047803176657</v>
      </c>
      <c r="AD40">
        <f>IF(Z40&lt;&gt;"",Z40/'DDD Model Calculations'!M$11,"")</f>
        <v>-1.4712602881995425</v>
      </c>
      <c r="AE40">
        <f>IF(AA40&lt;&gt;"",AA40/'DDD Model Calculations'!N$11,"")</f>
        <v>-1.519580549907851</v>
      </c>
      <c r="AF40">
        <f t="shared" si="25"/>
        <v>1</v>
      </c>
      <c r="AG40">
        <f t="shared" si="26"/>
        <v>1</v>
      </c>
      <c r="AH40">
        <f t="shared" si="27"/>
        <v>1</v>
      </c>
      <c r="AI40">
        <f t="shared" si="28"/>
        <v>1</v>
      </c>
    </row>
    <row r="41" spans="1:35" x14ac:dyDescent="0.4">
      <c r="A41" s="2">
        <v>44566</v>
      </c>
      <c r="B41" s="1">
        <v>33</v>
      </c>
      <c r="C41" s="1">
        <v>385652</v>
      </c>
      <c r="D41" t="str">
        <v>A</v>
      </c>
      <c r="E41">
        <v>36914</v>
      </c>
      <c r="F41">
        <v>442608</v>
      </c>
      <c r="G41">
        <f t="shared" si="12"/>
        <v>36914</v>
      </c>
      <c r="H41" s="2">
        <f t="shared" si="13"/>
        <v>44566</v>
      </c>
      <c r="I41">
        <f t="shared" si="14"/>
        <v>33</v>
      </c>
      <c r="J41">
        <f t="shared" si="29"/>
        <v>1218</v>
      </c>
      <c r="K41">
        <f>IF(AND($H42&gt;0,$H42&lt;&gt;""),VLOOKUP($H42,'Weather Data'!$L$2:$P$4170,'DDD Model Calculations'!$D$22,FALSE),"")</f>
        <v>28913.300004594028</v>
      </c>
      <c r="L41">
        <f>IF(AND($K41&gt;0,$K41&lt;&gt;""),VLOOKUP($H41,'Weather Data'!$L$2:$P$4170,'DDD Model Calculations'!$D$22,FALSE),"")</f>
        <v>29484.60000423342</v>
      </c>
      <c r="M41">
        <f t="shared" si="30"/>
        <v>571.2999996393919</v>
      </c>
      <c r="N41">
        <f t="shared" si="18"/>
        <v>1118.6060606060605</v>
      </c>
      <c r="O41">
        <f t="shared" si="19"/>
        <v>17.312121201193694</v>
      </c>
      <c r="P41">
        <f t="shared" si="31"/>
        <v>12.312121201193694</v>
      </c>
      <c r="Q41">
        <f t="shared" si="20"/>
        <v>1</v>
      </c>
      <c r="R41">
        <f t="shared" si="3"/>
        <v>4</v>
      </c>
      <c r="S41">
        <f>IF('DDD Model Calculations'!$D$23=1,WorkingData!AF41,IF('DDD Model Calculations'!$D$23=2,WorkingData!AG41,IF('DDD Model Calculations'!$D$23=4,WorkingData!AH41,WorkingData!AI41)))</f>
        <v>1</v>
      </c>
      <c r="T41">
        <f t="shared" si="21"/>
        <v>0</v>
      </c>
      <c r="U41">
        <f t="shared" si="22"/>
        <v>0</v>
      </c>
      <c r="V41">
        <f t="shared" si="23"/>
        <v>1</v>
      </c>
      <c r="W41">
        <f t="shared" si="24"/>
        <v>1</v>
      </c>
      <c r="X41">
        <f>IF(AND($N41&gt;0,$N41&lt;&gt;"",'DDD Model Calculations'!$K$3&gt;=3),$N41-('DDD Model Calculations'!K$13+'DDD Model Calculations'!K$12*WorkingData!$P41),"")</f>
        <v>-76.171104483553108</v>
      </c>
      <c r="Y41">
        <f>IF(AND($N41&gt;0,$N41&lt;&gt;""),$N41-('DDD Model Calculations'!L$13+'DDD Model Calculations'!L$12*WorkingData!$P41),"")</f>
        <v>-78.529927195660775</v>
      </c>
      <c r="Z41">
        <f>IF(AND($N41&gt;0,$N41&lt;&gt;""),$N41-('DDD Model Calculations'!M$13+'DDD Model Calculations'!M$12*WorkingData!$P41),"")</f>
        <v>-43.115222771056096</v>
      </c>
      <c r="AA41">
        <f>IF(AND($N41&gt;0,$N41&lt;&gt;""),$N41-('DDD Model Calculations'!N$13+'DDD Model Calculations'!N$12*WorkingData!$P41),"")</f>
        <v>-31.682120129372834</v>
      </c>
      <c r="AB41">
        <f>IF(X41&lt;&gt;"",X41/'DDD Model Calculations'!K$11,"")</f>
        <v>-0.34043456657829452</v>
      </c>
      <c r="AC41">
        <f>IF(Y41&lt;&gt;"",Y41/'DDD Model Calculations'!L$11,"")</f>
        <v>-0.44676103434576048</v>
      </c>
      <c r="AD41">
        <f>IF(Z41&lt;&gt;"",Z41/'DDD Model Calculations'!M$11,"")</f>
        <v>-0.28094529326929213</v>
      </c>
      <c r="AE41">
        <f>IF(AA41&lt;&gt;"",AA41/'DDD Model Calculations'!N$11,"")</f>
        <v>-0.2104022516428361</v>
      </c>
      <c r="AF41">
        <f t="shared" si="25"/>
        <v>1</v>
      </c>
      <c r="AG41">
        <f t="shared" si="26"/>
        <v>1</v>
      </c>
      <c r="AH41">
        <f t="shared" si="27"/>
        <v>1</v>
      </c>
      <c r="AI41">
        <f t="shared" si="28"/>
        <v>1</v>
      </c>
    </row>
    <row r="42" spans="1:35" x14ac:dyDescent="0.4">
      <c r="A42" s="2">
        <v>44533</v>
      </c>
      <c r="B42" s="1">
        <v>31</v>
      </c>
      <c r="C42" s="1">
        <v>348738</v>
      </c>
      <c r="D42" t="str">
        <v>A</v>
      </c>
      <c r="E42">
        <v>29501</v>
      </c>
      <c r="F42">
        <v>405694</v>
      </c>
      <c r="G42">
        <f t="shared" si="12"/>
        <v>29501</v>
      </c>
      <c r="H42" s="2">
        <f t="shared" si="13"/>
        <v>44533</v>
      </c>
      <c r="I42">
        <f t="shared" si="14"/>
        <v>31</v>
      </c>
      <c r="J42">
        <f t="shared" si="29"/>
        <v>1249</v>
      </c>
      <c r="K42">
        <f>IF(AND($H43&gt;0,$H43&lt;&gt;""),VLOOKUP($H43,'Weather Data'!$L$2:$P$4170,'DDD Model Calculations'!$D$22,FALSE),"")</f>
        <v>28478.900004915893</v>
      </c>
      <c r="L42">
        <f>IF(AND($K42&gt;0,$K42&lt;&gt;""),VLOOKUP($H42,'Weather Data'!$L$2:$P$4170,'DDD Model Calculations'!$D$22,FALSE),"")</f>
        <v>28913.300004594028</v>
      </c>
      <c r="M42">
        <f t="shared" si="30"/>
        <v>434.39999967813492</v>
      </c>
      <c r="N42">
        <f t="shared" si="18"/>
        <v>951.64516129032256</v>
      </c>
      <c r="O42">
        <f t="shared" si="19"/>
        <v>14.012903215423707</v>
      </c>
      <c r="P42">
        <f t="shared" si="31"/>
        <v>9.012903215423707</v>
      </c>
      <c r="Q42">
        <f t="shared" si="20"/>
        <v>1</v>
      </c>
      <c r="R42">
        <f t="shared" si="3"/>
        <v>4</v>
      </c>
      <c r="S42">
        <f>IF('DDD Model Calculations'!$D$23=1,WorkingData!AF42,IF('DDD Model Calculations'!$D$23=2,WorkingData!AG42,IF('DDD Model Calculations'!$D$23=4,WorkingData!AH42,WorkingData!AI42)))</f>
        <v>1</v>
      </c>
      <c r="T42">
        <f t="shared" si="21"/>
        <v>0</v>
      </c>
      <c r="U42">
        <f t="shared" si="22"/>
        <v>0</v>
      </c>
      <c r="V42">
        <f t="shared" si="23"/>
        <v>1</v>
      </c>
      <c r="W42">
        <f t="shared" si="24"/>
        <v>1</v>
      </c>
      <c r="X42">
        <f>IF(AND($N42&gt;0,$N42&lt;&gt;"",'DDD Model Calculations'!$K$3&gt;=3),$N42-('DDD Model Calculations'!K$13+'DDD Model Calculations'!K$12*WorkingData!$P42),"")</f>
        <v>-119.42447291916085</v>
      </c>
      <c r="Y42">
        <f>IF(AND($N42&gt;0,$N42&lt;&gt;""),$N42-('DDD Model Calculations'!L$13+'DDD Model Calculations'!L$12*WorkingData!$P42),"")</f>
        <v>-113.09029846268402</v>
      </c>
      <c r="Z42">
        <f>IF(AND($N42&gt;0,$N42&lt;&gt;""),$N42-('DDD Model Calculations'!M$13+'DDD Model Calculations'!M$12*WorkingData!$P42),"")</f>
        <v>-72.846438525400913</v>
      </c>
      <c r="AA42">
        <f>IF(AND($N42&gt;0,$N42&lt;&gt;""),$N42-('DDD Model Calculations'!N$13+'DDD Model Calculations'!N$12*WorkingData!$P42),"")</f>
        <v>-56.376250141106766</v>
      </c>
      <c r="AB42">
        <f>IF(X42&lt;&gt;"",X42/'DDD Model Calculations'!K$11,"")</f>
        <v>-0.53374857766246908</v>
      </c>
      <c r="AC42">
        <f>IF(Y42&lt;&gt;"",Y42/'DDD Model Calculations'!L$11,"")</f>
        <v>-0.64337686942935601</v>
      </c>
      <c r="AD42">
        <f>IF(Z42&lt;&gt;"",Z42/'DDD Model Calculations'!M$11,"")</f>
        <v>-0.47467837853504641</v>
      </c>
      <c r="AE42">
        <f>IF(AA42&lt;&gt;"",AA42/'DDD Model Calculations'!N$11,"")</f>
        <v>-0.37439697597357191</v>
      </c>
      <c r="AF42">
        <f t="shared" si="25"/>
        <v>1</v>
      </c>
      <c r="AG42">
        <f t="shared" si="26"/>
        <v>1</v>
      </c>
      <c r="AH42">
        <f t="shared" si="27"/>
        <v>1</v>
      </c>
      <c r="AI42">
        <f t="shared" si="28"/>
        <v>1</v>
      </c>
    </row>
    <row r="43" spans="1:35" x14ac:dyDescent="0.4">
      <c r="A43" s="2">
        <v>44502</v>
      </c>
      <c r="B43" s="1">
        <v>32</v>
      </c>
      <c r="C43" s="1">
        <v>319237</v>
      </c>
      <c r="D43" t="str">
        <v>A</v>
      </c>
      <c r="E43">
        <v>11816</v>
      </c>
      <c r="F43">
        <v>376193</v>
      </c>
      <c r="G43">
        <f t="shared" si="12"/>
        <v>11816</v>
      </c>
      <c r="H43" s="2">
        <f t="shared" si="13"/>
        <v>44502</v>
      </c>
      <c r="I43">
        <f t="shared" si="14"/>
        <v>32</v>
      </c>
      <c r="J43">
        <f t="shared" si="29"/>
        <v>1281</v>
      </c>
      <c r="K43">
        <f>IF(AND($H44&gt;0,$H44&lt;&gt;""),VLOOKUP($H44,'Weather Data'!$L$2:$P$4170,'DDD Model Calculations'!$D$22,FALSE),"")</f>
        <v>28312.90000539273</v>
      </c>
      <c r="L43">
        <f>IF(AND($K43&gt;0,$K43&lt;&gt;""),VLOOKUP($H43,'Weather Data'!$L$2:$P$4170,'DDD Model Calculations'!$D$22,FALSE),"")</f>
        <v>28478.900004915893</v>
      </c>
      <c r="M43">
        <f t="shared" si="30"/>
        <v>165.99999952316284</v>
      </c>
      <c r="N43">
        <f t="shared" si="18"/>
        <v>369.25</v>
      </c>
      <c r="O43">
        <f t="shared" si="19"/>
        <v>5.1874999850988388</v>
      </c>
      <c r="P43">
        <f t="shared" si="31"/>
        <v>0.18749998509883881</v>
      </c>
      <c r="Q43">
        <f t="shared" si="20"/>
        <v>1</v>
      </c>
      <c r="R43">
        <f t="shared" si="3"/>
        <v>4</v>
      </c>
      <c r="S43">
        <f>IF('DDD Model Calculations'!$D$23=1,WorkingData!AF43,IF('DDD Model Calculations'!$D$23=2,WorkingData!AG43,IF('DDD Model Calculations'!$D$23=4,WorkingData!AH43,WorkingData!AI43)))</f>
        <v>1</v>
      </c>
      <c r="T43">
        <f t="shared" si="21"/>
        <v>0</v>
      </c>
      <c r="U43">
        <f t="shared" si="22"/>
        <v>0</v>
      </c>
      <c r="V43">
        <f t="shared" si="23"/>
        <v>1</v>
      </c>
      <c r="W43">
        <f t="shared" si="24"/>
        <v>1</v>
      </c>
      <c r="X43">
        <f>IF(AND($N43&gt;0,$N43&lt;&gt;"",'DDD Model Calculations'!$K$3&gt;=3),$N43-('DDD Model Calculations'!K$13+'DDD Model Calculations'!K$12*WorkingData!$P43),"")</f>
        <v>-370.90217214605684</v>
      </c>
      <c r="Y43">
        <f>IF(AND($N43&gt;0,$N43&lt;&gt;""),$N43-('DDD Model Calculations'!L$13+'DDD Model Calculations'!L$12*WorkingData!$P43),"")</f>
        <v>-341.31424312600427</v>
      </c>
      <c r="Z43">
        <f>IF(AND($N43&gt;0,$N43&lt;&gt;""),$N43-('DDD Model Calculations'!M$13+'DDD Model Calculations'!M$12*WorkingData!$P43),"")</f>
        <v>-288.15239933765179</v>
      </c>
      <c r="AA43">
        <f>IF(AND($N43&gt;0,$N43&lt;&gt;""),$N43-('DDD Model Calculations'!N$13+'DDD Model Calculations'!N$12*WorkingData!$P43),"")</f>
        <v>-258.20801404487793</v>
      </c>
      <c r="AB43">
        <f>IF(X43&lt;&gt;"",X43/'DDD Model Calculations'!K$11,"")</f>
        <v>-1.6576879260659094</v>
      </c>
      <c r="AC43">
        <f>IF(Y43&lt;&gt;"",Y43/'DDD Model Calculations'!L$11,"")</f>
        <v>-1.9417553248965669</v>
      </c>
      <c r="AD43">
        <f>IF(Z43&lt;&gt;"",Z43/'DDD Model Calculations'!M$11,"")</f>
        <v>-1.8776444869145641</v>
      </c>
      <c r="AE43">
        <f>IF(AA43&lt;&gt;"",AA43/'DDD Model Calculations'!N$11,"")</f>
        <v>-1.714769949909372</v>
      </c>
      <c r="AF43">
        <f t="shared" si="25"/>
        <v>1</v>
      </c>
      <c r="AG43">
        <f t="shared" si="26"/>
        <v>1</v>
      </c>
      <c r="AH43">
        <f t="shared" si="27"/>
        <v>1</v>
      </c>
      <c r="AI43">
        <f t="shared" si="28"/>
        <v>1</v>
      </c>
    </row>
    <row r="44" spans="1:35" x14ac:dyDescent="0.4">
      <c r="A44" s="2">
        <v>44470</v>
      </c>
      <c r="B44" s="1">
        <v>30</v>
      </c>
      <c r="C44" s="1">
        <v>307421</v>
      </c>
      <c r="D44" t="str">
        <v>A</v>
      </c>
      <c r="E44">
        <v>5938</v>
      </c>
      <c r="F44">
        <v>364377</v>
      </c>
      <c r="G44">
        <f t="shared" si="12"/>
        <v>5938</v>
      </c>
      <c r="H44" s="2">
        <f t="shared" si="13"/>
        <v>44470</v>
      </c>
      <c r="I44">
        <f t="shared" si="14"/>
        <v>30</v>
      </c>
      <c r="J44">
        <f t="shared" si="29"/>
        <v>1311</v>
      </c>
      <c r="K44">
        <f>IF(AND($H45&gt;0,$H45&lt;&gt;""),VLOOKUP($H45,'Weather Data'!$L$2:$P$4170,'DDD Model Calculations'!$D$22,FALSE),"")</f>
        <v>28273.300004057586</v>
      </c>
      <c r="L44">
        <f>IF(AND($K44&gt;0,$K44&lt;&gt;""),VLOOKUP($H44,'Weather Data'!$L$2:$P$4170,'DDD Model Calculations'!$D$22,FALSE),"")</f>
        <v>28312.90000539273</v>
      </c>
      <c r="M44">
        <f t="shared" si="30"/>
        <v>39.600001335144043</v>
      </c>
      <c r="N44">
        <f t="shared" si="18"/>
        <v>197.93333333333334</v>
      </c>
      <c r="O44">
        <f t="shared" si="19"/>
        <v>1.3200000445048015</v>
      </c>
      <c r="P44">
        <f t="shared" si="31"/>
        <v>-3.6799999554951985</v>
      </c>
      <c r="Q44">
        <f t="shared" si="20"/>
        <v>0</v>
      </c>
      <c r="R44">
        <f t="shared" si="3"/>
        <v>4</v>
      </c>
      <c r="S44">
        <f>IF('DDD Model Calculations'!$D$23=1,WorkingData!AF44,IF('DDD Model Calculations'!$D$23=2,WorkingData!AG44,IF('DDD Model Calculations'!$D$23=4,WorkingData!AH44,WorkingData!AI44)))</f>
        <v>1</v>
      </c>
      <c r="T44">
        <f t="shared" si="21"/>
        <v>0</v>
      </c>
      <c r="U44">
        <f t="shared" si="22"/>
        <v>0</v>
      </c>
      <c r="V44">
        <f t="shared" si="23"/>
        <v>1</v>
      </c>
      <c r="W44">
        <f t="shared" si="24"/>
        <v>1</v>
      </c>
      <c r="X44">
        <f>IF(AND($N44&gt;0,$N44&lt;&gt;"",'DDD Model Calculations'!$K$3&gt;=3),$N44-('DDD Model Calculations'!K$13+'DDD Model Calculations'!K$12*WorkingData!$P44),"")</f>
        <v>-397.2029985761838</v>
      </c>
      <c r="Y44">
        <f>IF(AND($N44&gt;0,$N44&lt;&gt;""),$N44-('DDD Model Calculations'!L$13+'DDD Model Calculations'!L$12*WorkingData!$P44),"")</f>
        <v>-357.42472560853736</v>
      </c>
      <c r="Z44">
        <f>IF(AND($N44&gt;0,$N44&lt;&gt;""),$N44-('DDD Model Calculations'!M$13+'DDD Model Calculations'!M$12*WorkingData!$P44),"")</f>
        <v>-298.60191648265362</v>
      </c>
      <c r="AA44">
        <f>IF(AND($N44&gt;0,$N44&lt;&gt;""),$N44-('DDD Model Calculations'!N$13+'DDD Model Calculations'!N$12*WorkingData!$P44),"")</f>
        <v>-262.75282016613431</v>
      </c>
      <c r="AB44">
        <f>IF(X44&lt;&gt;"",X44/'DDD Model Calculations'!K$11,"")</f>
        <v>-1.7752352625145296</v>
      </c>
      <c r="AC44">
        <f>IF(Y44&lt;&gt;"",Y44/'DDD Model Calculations'!L$11,"")</f>
        <v>-2.0334087374837551</v>
      </c>
      <c r="AD44">
        <f>IF(Z44&lt;&gt;"",Z44/'DDD Model Calculations'!M$11,"")</f>
        <v>-1.9457351163985859</v>
      </c>
      <c r="AE44">
        <f>IF(AA44&lt;&gt;"",AA44/'DDD Model Calculations'!N$11,"")</f>
        <v>-1.7449521926787235</v>
      </c>
      <c r="AF44">
        <f t="shared" si="25"/>
        <v>1</v>
      </c>
      <c r="AG44">
        <f t="shared" si="26"/>
        <v>0</v>
      </c>
      <c r="AH44">
        <f t="shared" si="27"/>
        <v>1</v>
      </c>
      <c r="AI44">
        <f t="shared" si="28"/>
        <v>1</v>
      </c>
    </row>
    <row r="45" spans="1:35" x14ac:dyDescent="0.4">
      <c r="A45" s="2">
        <v>44440</v>
      </c>
      <c r="B45" s="1">
        <v>31</v>
      </c>
      <c r="C45" s="1">
        <v>301483</v>
      </c>
      <c r="D45" t="str">
        <v>A</v>
      </c>
      <c r="E45">
        <v>5252</v>
      </c>
      <c r="F45">
        <v>358439</v>
      </c>
      <c r="G45">
        <f t="shared" si="12"/>
        <v>5252</v>
      </c>
      <c r="H45" s="2">
        <f t="shared" si="13"/>
        <v>44440</v>
      </c>
      <c r="I45">
        <f t="shared" si="14"/>
        <v>31</v>
      </c>
      <c r="J45">
        <f t="shared" si="29"/>
        <v>1342</v>
      </c>
      <c r="K45">
        <f>IF(AND($H46&gt;0,$H46&lt;&gt;""),VLOOKUP($H46,'Weather Data'!$L$2:$P$4170,'DDD Model Calculations'!$D$22,FALSE),"")</f>
        <v>28273.300004057586</v>
      </c>
      <c r="L45">
        <f>IF(AND($K45&gt;0,$K45&lt;&gt;""),VLOOKUP($H45,'Weather Data'!$L$2:$P$4170,'DDD Model Calculations'!$D$22,FALSE),"")</f>
        <v>28273.300004057586</v>
      </c>
      <c r="M45">
        <f t="shared" si="30"/>
        <v>0</v>
      </c>
      <c r="N45">
        <f t="shared" si="18"/>
        <v>169.41935483870967</v>
      </c>
      <c r="O45">
        <f t="shared" si="19"/>
        <v>0</v>
      </c>
      <c r="P45">
        <f t="shared" si="31"/>
        <v>-5</v>
      </c>
      <c r="Q45">
        <f t="shared" si="20"/>
        <v>0</v>
      </c>
      <c r="R45">
        <f t="shared" si="3"/>
        <v>4</v>
      </c>
      <c r="S45">
        <f>IF('DDD Model Calculations'!$D$23=1,WorkingData!AF45,IF('DDD Model Calculations'!$D$23=2,WorkingData!AG45,IF('DDD Model Calculations'!$D$23=4,WorkingData!AH45,WorkingData!AI45)))</f>
        <v>1</v>
      </c>
      <c r="T45">
        <f t="shared" si="21"/>
        <v>0</v>
      </c>
      <c r="U45">
        <f t="shared" si="22"/>
        <v>0</v>
      </c>
      <c r="V45">
        <f t="shared" si="23"/>
        <v>1</v>
      </c>
      <c r="W45">
        <f t="shared" si="24"/>
        <v>1</v>
      </c>
      <c r="X45">
        <f>IF(AND($N45&gt;0,$N45&lt;&gt;"",'DDD Model Calculations'!$K$3&gt;=3),$N45-('DDD Model Calculations'!K$13+'DDD Model Calculations'!K$12*WorkingData!$P45),"")</f>
        <v>-376.22223408272305</v>
      </c>
      <c r="Y45">
        <f>IF(AND($N45&gt;0,$N45&lt;&gt;""),$N45-('DDD Model Calculations'!L$13+'DDD Model Calculations'!L$12*WorkingData!$P45),"")</f>
        <v>-332.96593792930844</v>
      </c>
      <c r="Z45">
        <f>IF(AND($N45&gt;0,$N45&lt;&gt;""),$N45-('DDD Model Calculations'!M$13+'DDD Model Calculations'!M$12*WorkingData!$P45),"")</f>
        <v>-272.21100867097198</v>
      </c>
      <c r="AA45">
        <f>IF(AND($N45&gt;0,$N45&lt;&gt;""),$N45-('DDD Model Calculations'!N$13+'DDD Model Calculations'!N$12*WorkingData!$P45),"")</f>
        <v>-234.34660041292622</v>
      </c>
      <c r="AB45">
        <f>IF(X45&lt;&gt;"",X45/'DDD Model Calculations'!K$11,"")</f>
        <v>-1.6814650918541474</v>
      </c>
      <c r="AC45">
        <f>IF(Y45&lt;&gt;"",Y45/'DDD Model Calculations'!L$11,"")</f>
        <v>-1.8942613617935933</v>
      </c>
      <c r="AD45">
        <f>IF(Z45&lt;&gt;"",Z45/'DDD Model Calculations'!M$11,"")</f>
        <v>-1.7737679813992706</v>
      </c>
      <c r="AE45">
        <f>IF(AA45&lt;&gt;"",AA45/'DDD Model Calculations'!N$11,"")</f>
        <v>-1.5563053290114435</v>
      </c>
      <c r="AF45">
        <f t="shared" si="25"/>
        <v>1</v>
      </c>
      <c r="AG45">
        <f t="shared" si="26"/>
        <v>1</v>
      </c>
      <c r="AH45">
        <f t="shared" si="27"/>
        <v>1</v>
      </c>
      <c r="AI45">
        <f t="shared" si="28"/>
        <v>1</v>
      </c>
    </row>
    <row r="46" spans="1:35" x14ac:dyDescent="0.4">
      <c r="A46" s="2">
        <v>44409</v>
      </c>
      <c r="B46" s="1">
        <v>31</v>
      </c>
      <c r="C46" s="1">
        <v>296231</v>
      </c>
      <c r="D46" t="str">
        <v>A</v>
      </c>
      <c r="E46">
        <v>4966</v>
      </c>
      <c r="F46">
        <v>353187</v>
      </c>
      <c r="G46">
        <f t="shared" si="12"/>
        <v>4966</v>
      </c>
      <c r="H46" s="2">
        <f t="shared" si="13"/>
        <v>44409</v>
      </c>
      <c r="I46">
        <f t="shared" si="14"/>
        <v>31</v>
      </c>
      <c r="J46">
        <f t="shared" si="29"/>
        <v>1373</v>
      </c>
      <c r="K46">
        <f>IF(AND($H47&gt;0,$H47&lt;&gt;""),VLOOKUP($H47,'Weather Data'!$L$2:$P$4170,'DDD Model Calculations'!$D$22,FALSE),"")</f>
        <v>28268.900004439056</v>
      </c>
      <c r="L46">
        <f>IF(AND($K46&gt;0,$K46&lt;&gt;""),VLOOKUP($H46,'Weather Data'!$L$2:$P$4170,'DDD Model Calculations'!$D$22,FALSE),"")</f>
        <v>28273.300004057586</v>
      </c>
      <c r="M46">
        <f t="shared" si="30"/>
        <v>4.3999996185302734</v>
      </c>
      <c r="N46">
        <f t="shared" si="18"/>
        <v>160.19354838709677</v>
      </c>
      <c r="O46">
        <f t="shared" si="19"/>
        <v>0.14193547156549269</v>
      </c>
      <c r="P46">
        <f t="shared" si="31"/>
        <v>-4.8580645284345074</v>
      </c>
      <c r="Q46">
        <f t="shared" si="20"/>
        <v>0</v>
      </c>
      <c r="R46">
        <f t="shared" ref="R46:R77" si="32">IF(AND(J46&gt;0,J46&lt;&gt;""),TRUNC(J46/365.25,0)+1,"")</f>
        <v>4</v>
      </c>
      <c r="S46">
        <f>IF('DDD Model Calculations'!$D$23=1,WorkingData!AF46,IF('DDD Model Calculations'!$D$23=2,WorkingData!AG46,IF('DDD Model Calculations'!$D$23=4,WorkingData!AH46,WorkingData!AI46)))</f>
        <v>1</v>
      </c>
      <c r="T46">
        <f t="shared" si="21"/>
        <v>0</v>
      </c>
      <c r="U46">
        <f t="shared" si="22"/>
        <v>0</v>
      </c>
      <c r="V46">
        <f t="shared" si="23"/>
        <v>1</v>
      </c>
      <c r="W46">
        <f t="shared" si="24"/>
        <v>1</v>
      </c>
      <c r="X46">
        <f>IF(AND($N46&gt;0,$N46&lt;&gt;"",'DDD Model Calculations'!$K$3&gt;=3),$N46-('DDD Model Calculations'!K$13+'DDD Model Calculations'!K$12*WorkingData!$P46),"")</f>
        <v>-390.77005526855675</v>
      </c>
      <c r="Y46">
        <f>IF(AND($N46&gt;0,$N46&lt;&gt;""),$N46-('DDD Model Calculations'!L$13+'DDD Model Calculations'!L$12*WorkingData!$P46),"")</f>
        <v>-347.88774005782676</v>
      </c>
      <c r="Z46">
        <f>IF(AND($N46&gt;0,$N46&lt;&gt;""),$N46-('DDD Model Calculations'!M$13+'DDD Model Calculations'!M$12*WorkingData!$P46),"")</f>
        <v>-287.34056562742575</v>
      </c>
      <c r="AA46">
        <f>IF(AND($N46&gt;0,$N46&lt;&gt;""),$N46-('DDD Model Calculations'!N$13+'DDD Model Calculations'!N$12*WorkingData!$P46),"")</f>
        <v>-249.69285755205266</v>
      </c>
      <c r="AB46">
        <f>IF(X46&lt;&gt;"",X46/'DDD Model Calculations'!K$11,"")</f>
        <v>-1.7464842514637759</v>
      </c>
      <c r="AC46">
        <f>IF(Y46&lt;&gt;"",Y46/'DDD Model Calculations'!L$11,"")</f>
        <v>-1.9791523070841675</v>
      </c>
      <c r="AD46">
        <f>IF(Z46&lt;&gt;"",Z46/'DDD Model Calculations'!M$11,"")</f>
        <v>-1.8723544560357612</v>
      </c>
      <c r="AE46">
        <f>IF(AA46&lt;&gt;"",AA46/'DDD Model Calculations'!N$11,"")</f>
        <v>-1.6582204484282344</v>
      </c>
      <c r="AF46">
        <f t="shared" si="25"/>
        <v>1</v>
      </c>
      <c r="AG46">
        <f t="shared" si="26"/>
        <v>1</v>
      </c>
      <c r="AH46">
        <f t="shared" si="27"/>
        <v>1</v>
      </c>
      <c r="AI46">
        <f t="shared" si="28"/>
        <v>1</v>
      </c>
    </row>
    <row r="47" spans="1:35" x14ac:dyDescent="0.4">
      <c r="A47" s="2">
        <v>44378</v>
      </c>
      <c r="B47" s="1">
        <v>30</v>
      </c>
      <c r="C47" s="1">
        <v>291265</v>
      </c>
      <c r="D47" t="str">
        <v>A</v>
      </c>
      <c r="E47">
        <v>5246</v>
      </c>
      <c r="F47">
        <v>348221</v>
      </c>
      <c r="G47">
        <f t="shared" si="12"/>
        <v>5246</v>
      </c>
      <c r="H47" s="2">
        <f t="shared" si="13"/>
        <v>44378</v>
      </c>
      <c r="I47">
        <f t="shared" si="14"/>
        <v>30</v>
      </c>
      <c r="J47">
        <f t="shared" si="29"/>
        <v>1403</v>
      </c>
      <c r="K47">
        <f>IF(AND($H48&gt;0,$H48&lt;&gt;""),VLOOKUP($H48,'Weather Data'!$L$2:$P$4170,'DDD Model Calculations'!$D$22,FALSE),"")</f>
        <v>28261.900003485382</v>
      </c>
      <c r="L47">
        <f>IF(AND($K47&gt;0,$K47&lt;&gt;""),VLOOKUP($H47,'Weather Data'!$L$2:$P$4170,'DDD Model Calculations'!$D$22,FALSE),"")</f>
        <v>28268.900004439056</v>
      </c>
      <c r="M47">
        <f t="shared" si="30"/>
        <v>7.0000009536743164</v>
      </c>
      <c r="N47">
        <f t="shared" si="18"/>
        <v>174.86666666666667</v>
      </c>
      <c r="O47">
        <f t="shared" si="19"/>
        <v>0.23333336512247721</v>
      </c>
      <c r="P47">
        <f t="shared" si="31"/>
        <v>-4.7666666348775228</v>
      </c>
      <c r="Q47">
        <f t="shared" si="20"/>
        <v>0</v>
      </c>
      <c r="R47">
        <f t="shared" si="32"/>
        <v>4</v>
      </c>
      <c r="S47">
        <f>IF('DDD Model Calculations'!$D$23=1,WorkingData!AF47,IF('DDD Model Calculations'!$D$23=2,WorkingData!AG47,IF('DDD Model Calculations'!$D$23=4,WorkingData!AH47,WorkingData!AI47)))</f>
        <v>1</v>
      </c>
      <c r="T47">
        <f t="shared" si="21"/>
        <v>0</v>
      </c>
      <c r="U47">
        <f t="shared" si="22"/>
        <v>0</v>
      </c>
      <c r="V47">
        <f t="shared" si="23"/>
        <v>1</v>
      </c>
      <c r="W47">
        <f t="shared" si="24"/>
        <v>1</v>
      </c>
      <c r="X47">
        <f>IF(AND($N47&gt;0,$N47&lt;&gt;"",'DDD Model Calculations'!$K$3&gt;=3),$N47-('DDD Model Calculations'!K$13+'DDD Model Calculations'!K$12*WorkingData!$P47),"")</f>
        <v>-379.52399388196773</v>
      </c>
      <c r="Y47">
        <f>IF(AND($N47&gt;0,$N47&lt;&gt;""),$N47-('DDD Model Calculations'!L$13+'DDD Model Calculations'!L$12*WorkingData!$P47),"")</f>
        <v>-336.88249986987699</v>
      </c>
      <c r="Z47">
        <f>IF(AND($N47&gt;0,$N47&lt;&gt;""),$N47-('DDD Model Calculations'!M$13+'DDD Model Calculations'!M$12*WorkingData!$P47),"")</f>
        <v>-276.46910703360584</v>
      </c>
      <c r="AA47">
        <f>IF(AND($N47&gt;0,$N47&lt;&gt;""),$N47-('DDD Model Calculations'!N$13+'DDD Model Calculations'!N$12*WorkingData!$P47),"")</f>
        <v>-238.96094082194895</v>
      </c>
      <c r="AB47">
        <f>IF(X47&lt;&gt;"",X47/'DDD Model Calculations'!K$11,"")</f>
        <v>-1.6962217791021865</v>
      </c>
      <c r="AC47">
        <f>IF(Y47&lt;&gt;"",Y47/'DDD Model Calculations'!L$11,"")</f>
        <v>-1.9165428960587152</v>
      </c>
      <c r="AD47">
        <f>IF(Z47&lt;&gt;"",Z47/'DDD Model Calculations'!M$11,"")</f>
        <v>-1.8015143924432779</v>
      </c>
      <c r="AE47">
        <f>IF(AA47&lt;&gt;"",AA47/'DDD Model Calculations'!N$11,"")</f>
        <v>-1.586949351821167</v>
      </c>
      <c r="AF47">
        <f t="shared" si="25"/>
        <v>1</v>
      </c>
      <c r="AG47">
        <f t="shared" si="26"/>
        <v>1</v>
      </c>
      <c r="AH47">
        <f t="shared" si="27"/>
        <v>1</v>
      </c>
      <c r="AI47">
        <f t="shared" si="28"/>
        <v>1</v>
      </c>
    </row>
    <row r="48" spans="1:35" x14ac:dyDescent="0.4">
      <c r="A48" s="2">
        <v>44348</v>
      </c>
      <c r="B48" s="1">
        <v>28</v>
      </c>
      <c r="C48" s="1">
        <v>286019</v>
      </c>
      <c r="D48" t="str">
        <v>A</v>
      </c>
      <c r="E48">
        <v>13473</v>
      </c>
      <c r="F48">
        <v>342975</v>
      </c>
      <c r="G48">
        <f t="shared" si="12"/>
        <v>13473</v>
      </c>
      <c r="H48" s="2">
        <f t="shared" si="13"/>
        <v>44348</v>
      </c>
      <c r="I48">
        <f t="shared" si="14"/>
        <v>28</v>
      </c>
      <c r="J48">
        <f t="shared" si="29"/>
        <v>1431</v>
      </c>
      <c r="K48">
        <f>IF(AND($H49&gt;0,$H49&lt;&gt;""),VLOOKUP($H49,'Weather Data'!$L$2:$P$4170,'DDD Model Calculations'!$D$22,FALSE),"")</f>
        <v>28129.800002150238</v>
      </c>
      <c r="L48">
        <f>IF(AND($K48&gt;0,$K48&lt;&gt;""),VLOOKUP($H48,'Weather Data'!$L$2:$P$4170,'DDD Model Calculations'!$D$22,FALSE),"")</f>
        <v>28261.900003485382</v>
      </c>
      <c r="M48">
        <f t="shared" si="30"/>
        <v>132.10000133514404</v>
      </c>
      <c r="N48">
        <f t="shared" si="18"/>
        <v>481.17857142857144</v>
      </c>
      <c r="O48">
        <f t="shared" si="19"/>
        <v>4.7178571905408591</v>
      </c>
      <c r="P48">
        <f t="shared" si="31"/>
        <v>-0.28214280945914094</v>
      </c>
      <c r="Q48">
        <f t="shared" si="20"/>
        <v>0</v>
      </c>
      <c r="R48">
        <f t="shared" si="32"/>
        <v>4</v>
      </c>
      <c r="S48">
        <f>IF('DDD Model Calculations'!$D$23=1,WorkingData!AF48,IF('DDD Model Calculations'!$D$23=2,WorkingData!AG48,IF('DDD Model Calculations'!$D$23=4,WorkingData!AH48,WorkingData!AI48)))</f>
        <v>1</v>
      </c>
      <c r="T48">
        <f t="shared" si="21"/>
        <v>0</v>
      </c>
      <c r="U48">
        <f t="shared" si="22"/>
        <v>0</v>
      </c>
      <c r="V48">
        <f t="shared" si="23"/>
        <v>1</v>
      </c>
      <c r="W48">
        <f t="shared" si="24"/>
        <v>1</v>
      </c>
      <c r="X48">
        <f>IF(AND($N48&gt;0,$N48&lt;&gt;"",'DDD Model Calculations'!$K$3&gt;=3),$N48-('DDD Model Calculations'!K$13+'DDD Model Calculations'!K$12*WorkingData!$P48),"")</f>
        <v>-241.36386690753443</v>
      </c>
      <c r="Y48">
        <f>IF(AND($N48&gt;0,$N48&lt;&gt;""),$N48-('DDD Model Calculations'!L$13+'DDD Model Calculations'!L$12*WorkingData!$P48),"")</f>
        <v>-210.53849207427788</v>
      </c>
      <c r="Z48">
        <f>IF(AND($N48&gt;0,$N48&lt;&gt;""),$N48-('DDD Model Calculations'!M$13+'DDD Model Calculations'!M$12*WorkingData!$P48),"")</f>
        <v>-156.68921929514283</v>
      </c>
      <c r="AA48">
        <f>IF(AND($N48&gt;0,$N48&lt;&gt;""),$N48-('DDD Model Calculations'!N$13+'DDD Model Calculations'!N$12*WorkingData!$P48),"")</f>
        <v>-126.02780619917701</v>
      </c>
      <c r="AB48">
        <f>IF(X48&lt;&gt;"",X48/'DDD Model Calculations'!K$11,"")</f>
        <v>-1.0787371927378251</v>
      </c>
      <c r="AC48">
        <f>IF(Y48&lt;&gt;"",Y48/'DDD Model Calculations'!L$11,"")</f>
        <v>-1.1977649521353237</v>
      </c>
      <c r="AD48">
        <f>IF(Z48&lt;&gt;"",Z48/'DDD Model Calculations'!M$11,"")</f>
        <v>-1.0210105813615873</v>
      </c>
      <c r="AE48">
        <f>IF(AA48&lt;&gt;"",AA48/'DDD Model Calculations'!N$11,"")</f>
        <v>-0.83695579985286583</v>
      </c>
      <c r="AF48">
        <f t="shared" si="25"/>
        <v>1</v>
      </c>
      <c r="AG48">
        <f t="shared" si="26"/>
        <v>1</v>
      </c>
      <c r="AH48">
        <f t="shared" si="27"/>
        <v>1</v>
      </c>
      <c r="AI48">
        <f t="shared" si="28"/>
        <v>1</v>
      </c>
    </row>
    <row r="49" spans="1:35" x14ac:dyDescent="0.4">
      <c r="A49" s="2">
        <v>44320</v>
      </c>
      <c r="B49" s="1">
        <v>33</v>
      </c>
      <c r="C49" s="1">
        <v>272546</v>
      </c>
      <c r="D49" t="str">
        <v>A</v>
      </c>
      <c r="E49">
        <v>28317</v>
      </c>
      <c r="F49">
        <v>329502</v>
      </c>
      <c r="G49">
        <f t="shared" si="12"/>
        <v>28317</v>
      </c>
      <c r="H49" s="2">
        <f t="shared" si="13"/>
        <v>44320</v>
      </c>
      <c r="I49">
        <f t="shared" si="14"/>
        <v>33</v>
      </c>
      <c r="J49">
        <f t="shared" si="29"/>
        <v>1464</v>
      </c>
      <c r="K49">
        <f>IF(AND($H50&gt;0,$H50&lt;&gt;""),VLOOKUP($H50,'Weather Data'!$L$2:$P$4170,'DDD Model Calculations'!$D$22,FALSE),"")</f>
        <v>27813.500003449619</v>
      </c>
      <c r="L49">
        <f>IF(AND($K49&gt;0,$K49&lt;&gt;""),VLOOKUP($H49,'Weather Data'!$L$2:$P$4170,'DDD Model Calculations'!$D$22,FALSE),"")</f>
        <v>28129.800002150238</v>
      </c>
      <c r="M49">
        <f t="shared" si="30"/>
        <v>316.29999870061874</v>
      </c>
      <c r="N49">
        <f t="shared" si="18"/>
        <v>858.09090909090912</v>
      </c>
      <c r="O49">
        <f t="shared" si="19"/>
        <v>9.5848484454732947</v>
      </c>
      <c r="P49">
        <f t="shared" si="31"/>
        <v>4.5848484454732947</v>
      </c>
      <c r="Q49">
        <f t="shared" si="20"/>
        <v>1</v>
      </c>
      <c r="R49">
        <f t="shared" si="32"/>
        <v>5</v>
      </c>
      <c r="S49">
        <f>IF('DDD Model Calculations'!$D$23=1,WorkingData!AF49,IF('DDD Model Calculations'!$D$23=2,WorkingData!AG49,IF('DDD Model Calculations'!$D$23=4,WorkingData!AH49,WorkingData!AI49)))</f>
        <v>1</v>
      </c>
      <c r="T49">
        <f t="shared" si="21"/>
        <v>0</v>
      </c>
      <c r="U49">
        <f t="shared" si="22"/>
        <v>0</v>
      </c>
      <c r="V49">
        <f t="shared" si="23"/>
        <v>0</v>
      </c>
      <c r="W49">
        <f t="shared" si="24"/>
        <v>1</v>
      </c>
      <c r="X49">
        <f>IF(AND($N49&gt;0,$N49&lt;&gt;"",'DDD Model Calculations'!$K$3&gt;=3),$N49-('DDD Model Calculations'!K$13+'DDD Model Calculations'!K$12*WorkingData!$P49),"")</f>
        <v>-46.944311946961989</v>
      </c>
      <c r="Y49">
        <f>IF(AND($N49&gt;0,$N49&lt;&gt;""),$N49-('DDD Model Calculations'!L$13+'DDD Model Calculations'!L$12*WorkingData!$P49),"")</f>
        <v>-28.942806703752808</v>
      </c>
      <c r="Z49">
        <f>IF(AND($N49&gt;0,$N49&lt;&gt;""),$N49-('DDD Model Calculations'!M$13+'DDD Model Calculations'!M$12*WorkingData!$P49),"")</f>
        <v>17.782517991233476</v>
      </c>
      <c r="AA49">
        <f>IF(AND($N49&gt;0,$N49&lt;&gt;""),$N49-('DDD Model Calculations'!N$13+'DDD Model Calculations'!N$12*WorkingData!$P49),"")</f>
        <v>41.013245280632077</v>
      </c>
      <c r="AB49">
        <f>IF(X49&lt;&gt;"",X49/'DDD Model Calculations'!K$11,"")</f>
        <v>-0.20981009267669187</v>
      </c>
      <c r="AC49">
        <f>IF(Y49&lt;&gt;"",Y49/'DDD Model Calculations'!L$11,"")</f>
        <v>-0.16465720422255148</v>
      </c>
      <c r="AD49">
        <f>IF(Z49&lt;&gt;"",Z49/'DDD Model Calculations'!M$11,"")</f>
        <v>0.11587356880056261</v>
      </c>
      <c r="AE49">
        <f>IF(AA49&lt;&gt;"",AA49/'DDD Model Calculations'!N$11,"")</f>
        <v>0.27237063425640551</v>
      </c>
      <c r="AF49">
        <f t="shared" si="25"/>
        <v>1</v>
      </c>
      <c r="AG49">
        <f t="shared" si="26"/>
        <v>1</v>
      </c>
      <c r="AH49">
        <f t="shared" si="27"/>
        <v>1</v>
      </c>
      <c r="AI49">
        <f t="shared" si="28"/>
        <v>1</v>
      </c>
    </row>
    <row r="50" spans="1:35" x14ac:dyDescent="0.4">
      <c r="A50" s="2">
        <v>44287</v>
      </c>
      <c r="B50" s="1">
        <v>28</v>
      </c>
      <c r="C50" s="1">
        <v>244229</v>
      </c>
      <c r="D50" t="str">
        <v>A</v>
      </c>
      <c r="E50">
        <v>30957</v>
      </c>
      <c r="F50">
        <v>301185</v>
      </c>
      <c r="G50">
        <f t="shared" si="12"/>
        <v>30957</v>
      </c>
      <c r="H50" s="2">
        <f t="shared" si="13"/>
        <v>44287</v>
      </c>
      <c r="I50">
        <f t="shared" si="14"/>
        <v>28</v>
      </c>
      <c r="J50">
        <f t="shared" si="29"/>
        <v>1492</v>
      </c>
      <c r="K50">
        <f>IF(AND($H51&gt;0,$H51&lt;&gt;""),VLOOKUP($H51,'Weather Data'!$L$2:$P$4170,'DDD Model Calculations'!$D$22,FALSE),"")</f>
        <v>27416.900002889335</v>
      </c>
      <c r="L50">
        <f>IF(AND($K50&gt;0,$K50&lt;&gt;""),VLOOKUP($H50,'Weather Data'!$L$2:$P$4170,'DDD Model Calculations'!$D$22,FALSE),"")</f>
        <v>27813.500003449619</v>
      </c>
      <c r="M50">
        <f t="shared" si="30"/>
        <v>396.60000056028366</v>
      </c>
      <c r="N50">
        <f t="shared" si="18"/>
        <v>1105.6071428571429</v>
      </c>
      <c r="O50">
        <f t="shared" si="19"/>
        <v>14.164285734295845</v>
      </c>
      <c r="P50">
        <f t="shared" si="31"/>
        <v>9.164285734295845</v>
      </c>
      <c r="Q50">
        <f t="shared" si="20"/>
        <v>1</v>
      </c>
      <c r="R50">
        <f t="shared" si="32"/>
        <v>5</v>
      </c>
      <c r="S50">
        <f>IF('DDD Model Calculations'!$D$23=1,WorkingData!AF50,IF('DDD Model Calculations'!$D$23=2,WorkingData!AG50,IF('DDD Model Calculations'!$D$23=4,WorkingData!AH50,WorkingData!AI50)))</f>
        <v>1</v>
      </c>
      <c r="T50">
        <f t="shared" si="21"/>
        <v>0</v>
      </c>
      <c r="U50">
        <f t="shared" si="22"/>
        <v>0</v>
      </c>
      <c r="V50">
        <f t="shared" si="23"/>
        <v>0</v>
      </c>
      <c r="W50">
        <f t="shared" si="24"/>
        <v>1</v>
      </c>
      <c r="X50">
        <f>IF(AND($N50&gt;0,$N50&lt;&gt;"",'DDD Model Calculations'!$K$3&gt;=3),$N50-('DDD Model Calculations'!K$13+'DDD Model Calculations'!K$12*WorkingData!$P50),"")</f>
        <v>28.861267275049386</v>
      </c>
      <c r="Y50">
        <f>IF(AND($N50&gt;0,$N50&lt;&gt;""),$N50-('DDD Model Calculations'!L$13+'DDD Model Calculations'!L$12*WorkingData!$P50),"")</f>
        <v>34.796569085461215</v>
      </c>
      <c r="Z50">
        <f>IF(AND($N50&gt;0,$N50&lt;&gt;""),$N50-('DDD Model Calculations'!M$13+'DDD Model Calculations'!M$12*WorkingData!$P50),"")</f>
        <v>74.818846293537945</v>
      </c>
      <c r="AA50">
        <f>IF(AND($N50&gt;0,$N50&lt;&gt;""),$N50-('DDD Model Calculations'!N$13+'DDD Model Calculations'!N$12*WorkingData!$P50),"")</f>
        <v>91.057911202275022</v>
      </c>
      <c r="AB50">
        <f>IF(X50&lt;&gt;"",X50/'DDD Model Calculations'!K$11,"")</f>
        <v>0.12899081721735112</v>
      </c>
      <c r="AC50">
        <f>IF(Y50&lt;&gt;"",Y50/'DDD Model Calculations'!L$11,"")</f>
        <v>0.19795957734140565</v>
      </c>
      <c r="AD50">
        <f>IF(Z50&lt;&gt;"",Z50/'DDD Model Calculations'!M$11,"")</f>
        <v>0.48753088498754443</v>
      </c>
      <c r="AE50">
        <f>IF(AA50&lt;&gt;"",AA50/'DDD Model Calculations'!N$11,"")</f>
        <v>0.60471930125313089</v>
      </c>
      <c r="AF50">
        <f t="shared" si="25"/>
        <v>1</v>
      </c>
      <c r="AG50">
        <f t="shared" si="26"/>
        <v>1</v>
      </c>
      <c r="AH50">
        <f t="shared" si="27"/>
        <v>1</v>
      </c>
      <c r="AI50">
        <f t="shared" si="28"/>
        <v>1</v>
      </c>
    </row>
    <row r="51" spans="1:35" x14ac:dyDescent="0.4">
      <c r="A51" s="2">
        <v>44259</v>
      </c>
      <c r="B51" s="1">
        <v>29</v>
      </c>
      <c r="C51" s="1">
        <v>213272</v>
      </c>
      <c r="D51" t="str">
        <v>A</v>
      </c>
      <c r="E51">
        <v>39656</v>
      </c>
      <c r="F51">
        <v>270228</v>
      </c>
      <c r="G51">
        <f t="shared" si="12"/>
        <v>39656</v>
      </c>
      <c r="H51" s="2">
        <f t="shared" si="13"/>
        <v>44259</v>
      </c>
      <c r="I51">
        <f t="shared" si="14"/>
        <v>29</v>
      </c>
      <c r="J51">
        <f t="shared" si="29"/>
        <v>1521</v>
      </c>
      <c r="K51">
        <f>IF(AND($H52&gt;0,$H52&lt;&gt;""),VLOOKUP($H52,'Weather Data'!$L$2:$P$4170,'DDD Model Calculations'!$D$22,FALSE),"")</f>
        <v>26755.400003485382</v>
      </c>
      <c r="L51">
        <f>IF(AND($K51&gt;0,$K51&lt;&gt;""),VLOOKUP($H51,'Weather Data'!$L$2:$P$4170,'DDD Model Calculations'!$D$22,FALSE),"")</f>
        <v>27416.900002889335</v>
      </c>
      <c r="M51">
        <f t="shared" si="30"/>
        <v>661.49999940395355</v>
      </c>
      <c r="N51">
        <f t="shared" si="18"/>
        <v>1367.4482758620691</v>
      </c>
      <c r="O51">
        <f t="shared" si="19"/>
        <v>22.81034480703288</v>
      </c>
      <c r="P51">
        <f t="shared" si="31"/>
        <v>17.81034480703288</v>
      </c>
      <c r="Q51">
        <f t="shared" si="20"/>
        <v>1</v>
      </c>
      <c r="R51">
        <f t="shared" si="32"/>
        <v>5</v>
      </c>
      <c r="S51">
        <f>IF('DDD Model Calculations'!$D$23=1,WorkingData!AF51,IF('DDD Model Calculations'!$D$23=2,WorkingData!AG51,IF('DDD Model Calculations'!$D$23=4,WorkingData!AH51,WorkingData!AI51)))</f>
        <v>1</v>
      </c>
      <c r="T51">
        <f t="shared" si="21"/>
        <v>0</v>
      </c>
      <c r="U51">
        <f t="shared" si="22"/>
        <v>0</v>
      </c>
      <c r="V51">
        <f t="shared" si="23"/>
        <v>0</v>
      </c>
      <c r="W51">
        <f t="shared" si="24"/>
        <v>1</v>
      </c>
      <c r="X51">
        <f>IF(AND($N51&gt;0,$N51&lt;&gt;"",'DDD Model Calculations'!$K$3&gt;=3),$N51-('DDD Model Calculations'!K$13+'DDD Model Calculations'!K$12*WorkingData!$P51),"")</f>
        <v>-33.49037035394872</v>
      </c>
      <c r="Y51">
        <f>IF(AND($N51&gt;0,$N51&lt;&gt;""),$N51-('DDD Model Calculations'!L$13+'DDD Model Calculations'!L$12*WorkingData!$P51),"")</f>
        <v>-50.336275290982258</v>
      </c>
      <c r="Z51">
        <f>IF(AND($N51&gt;0,$N51&lt;&gt;""),$N51-('DDD Model Calculations'!M$13+'DDD Model Calculations'!M$12*WorkingData!$P51),"")</f>
        <v>-22.969470990163927</v>
      </c>
      <c r="AA51">
        <f>IF(AND($N51&gt;0,$N51&lt;&gt;""),$N51-('DDD Model Calculations'!N$13+'DDD Model Calculations'!N$12*WorkingData!$P51),"")</f>
        <v>-19.930789042752394</v>
      </c>
      <c r="AB51">
        <f>IF(X51&lt;&gt;"",X51/'DDD Model Calculations'!K$11,"")</f>
        <v>-0.14967985292184999</v>
      </c>
      <c r="AC51">
        <f>IF(Y51&lt;&gt;"",Y51/'DDD Model Calculations'!L$11,"")</f>
        <v>-0.28636581259118732</v>
      </c>
      <c r="AD51">
        <f>IF(Z51&lt;&gt;"",Z51/'DDD Model Calculations'!M$11,"")</f>
        <v>-0.14967253672418016</v>
      </c>
      <c r="AE51">
        <f>IF(AA51&lt;&gt;"",AA51/'DDD Model Calculations'!N$11,"")</f>
        <v>-0.13236118272670921</v>
      </c>
      <c r="AF51">
        <f t="shared" si="25"/>
        <v>1</v>
      </c>
      <c r="AG51">
        <f t="shared" si="26"/>
        <v>1</v>
      </c>
      <c r="AH51">
        <f t="shared" si="27"/>
        <v>1</v>
      </c>
      <c r="AI51">
        <f t="shared" si="28"/>
        <v>1</v>
      </c>
    </row>
    <row r="52" spans="1:35" x14ac:dyDescent="0.4">
      <c r="A52" s="2">
        <v>44230</v>
      </c>
      <c r="B52" s="1">
        <v>29</v>
      </c>
      <c r="C52" s="1">
        <v>173616</v>
      </c>
      <c r="D52" t="str">
        <v>A</v>
      </c>
      <c r="E52">
        <v>33778</v>
      </c>
      <c r="F52">
        <v>230572</v>
      </c>
      <c r="G52">
        <f t="shared" si="12"/>
        <v>33778</v>
      </c>
      <c r="H52" s="2">
        <f t="shared" si="13"/>
        <v>44230</v>
      </c>
      <c r="I52">
        <f t="shared" si="14"/>
        <v>29</v>
      </c>
      <c r="J52">
        <f t="shared" si="29"/>
        <v>1550</v>
      </c>
      <c r="K52">
        <f>IF(AND($H53&gt;0,$H53&lt;&gt;""),VLOOKUP($H53,'Weather Data'!$L$2:$P$4170,'DDD Model Calculations'!$D$22,FALSE),"")</f>
        <v>26137.60000320524</v>
      </c>
      <c r="L52">
        <f>IF(AND($K52&gt;0,$K52&lt;&gt;""),VLOOKUP($H52,'Weather Data'!$L$2:$P$4170,'DDD Model Calculations'!$D$22,FALSE),"")</f>
        <v>26755.400003485382</v>
      </c>
      <c r="M52">
        <f t="shared" si="30"/>
        <v>617.80000028014183</v>
      </c>
      <c r="N52">
        <f t="shared" si="18"/>
        <v>1164.7586206896551</v>
      </c>
      <c r="O52">
        <f t="shared" si="19"/>
        <v>21.303448285522133</v>
      </c>
      <c r="P52">
        <f t="shared" si="31"/>
        <v>16.303448285522133</v>
      </c>
      <c r="Q52">
        <f t="shared" si="20"/>
        <v>1</v>
      </c>
      <c r="R52">
        <f t="shared" si="32"/>
        <v>5</v>
      </c>
      <c r="S52">
        <f>IF('DDD Model Calculations'!$D$23=1,WorkingData!AF52,IF('DDD Model Calculations'!$D$23=2,WorkingData!AG52,IF('DDD Model Calculations'!$D$23=4,WorkingData!AH52,WorkingData!AI52)))</f>
        <v>1</v>
      </c>
      <c r="T52">
        <f t="shared" si="21"/>
        <v>0</v>
      </c>
      <c r="U52">
        <f t="shared" si="22"/>
        <v>0</v>
      </c>
      <c r="V52">
        <f t="shared" si="23"/>
        <v>0</v>
      </c>
      <c r="W52">
        <f t="shared" si="24"/>
        <v>1</v>
      </c>
      <c r="X52">
        <f>IF(AND($N52&gt;0,$N52&lt;&gt;"",'DDD Model Calculations'!$K$3&gt;=3),$N52-('DDD Model Calculations'!K$13+'DDD Model Calculations'!K$12*WorkingData!$P52),"")</f>
        <v>-179.67740921789664</v>
      </c>
      <c r="Y52">
        <f>IF(AND($N52&gt;0,$N52&lt;&gt;""),$N52-('DDD Model Calculations'!L$13+'DDD Model Calculations'!L$12*WorkingData!$P52),"")</f>
        <v>-192.55284380367038</v>
      </c>
      <c r="Z52">
        <f>IF(AND($N52&gt;0,$N52&lt;&gt;""),$N52-('DDD Model Calculations'!M$13+'DDD Model Calculations'!M$12*WorkingData!$P52),"")</f>
        <v>-162.98035389029906</v>
      </c>
      <c r="AA52">
        <f>IF(AND($N52&gt;0,$N52&lt;&gt;""),$N52-('DDD Model Calculations'!N$13+'DDD Model Calculations'!N$12*WorkingData!$P52),"")</f>
        <v>-157.6410155398155</v>
      </c>
      <c r="AB52">
        <f>IF(X52&lt;&gt;"",X52/'DDD Model Calculations'!K$11,"")</f>
        <v>-0.80303943793033761</v>
      </c>
      <c r="AC52">
        <f>IF(Y52&lt;&gt;"",Y52/'DDD Model Calculations'!L$11,"")</f>
        <v>-1.0954436192155137</v>
      </c>
      <c r="AD52">
        <f>IF(Z52&lt;&gt;"",Z52/'DDD Model Calculations'!M$11,"")</f>
        <v>-1.0620045630746837</v>
      </c>
      <c r="AE52">
        <f>IF(AA52&lt;&gt;"",AA52/'DDD Model Calculations'!N$11,"")</f>
        <v>-1.0469004121378249</v>
      </c>
      <c r="AF52">
        <f t="shared" si="25"/>
        <v>1</v>
      </c>
      <c r="AG52">
        <f t="shared" si="26"/>
        <v>1</v>
      </c>
      <c r="AH52">
        <f t="shared" si="27"/>
        <v>1</v>
      </c>
      <c r="AI52">
        <f t="shared" si="28"/>
        <v>1</v>
      </c>
    </row>
    <row r="53" spans="1:35" x14ac:dyDescent="0.4">
      <c r="A53" s="2">
        <v>44201</v>
      </c>
      <c r="B53" s="1">
        <v>29</v>
      </c>
      <c r="C53" s="1">
        <v>139838</v>
      </c>
      <c r="D53" t="str">
        <v>A</v>
      </c>
      <c r="E53">
        <v>34331</v>
      </c>
      <c r="F53">
        <v>196794</v>
      </c>
      <c r="G53">
        <f t="shared" si="12"/>
        <v>34331</v>
      </c>
      <c r="H53" s="2">
        <f t="shared" si="13"/>
        <v>44201</v>
      </c>
      <c r="I53">
        <f t="shared" si="14"/>
        <v>29</v>
      </c>
      <c r="J53">
        <f t="shared" si="29"/>
        <v>1579</v>
      </c>
      <c r="K53">
        <f>IF(AND($H54&gt;0,$H54&lt;&gt;""),VLOOKUP($H54,'Weather Data'!$L$2:$P$4170,'DDD Model Calculations'!$D$22,FALSE),"")</f>
        <v>25609.200003378093</v>
      </c>
      <c r="L53">
        <f>IF(AND($K53&gt;0,$K53&lt;&gt;""),VLOOKUP($H53,'Weather Data'!$L$2:$P$4170,'DDD Model Calculations'!$D$22,FALSE),"")</f>
        <v>26137.60000320524</v>
      </c>
      <c r="M53">
        <f t="shared" si="30"/>
        <v>528.39999982714653</v>
      </c>
      <c r="N53">
        <f t="shared" si="18"/>
        <v>1183.8275862068965</v>
      </c>
      <c r="O53">
        <f t="shared" si="19"/>
        <v>18.220689649211948</v>
      </c>
      <c r="P53">
        <f t="shared" si="31"/>
        <v>13.220689649211948</v>
      </c>
      <c r="Q53">
        <f t="shared" si="20"/>
        <v>1</v>
      </c>
      <c r="R53">
        <f t="shared" si="32"/>
        <v>5</v>
      </c>
      <c r="S53">
        <f>IF('DDD Model Calculations'!$D$23=1,WorkingData!AF53,IF('DDD Model Calculations'!$D$23=2,WorkingData!AG53,IF('DDD Model Calculations'!$D$23=4,WorkingData!AH53,WorkingData!AI53)))</f>
        <v>1</v>
      </c>
      <c r="T53">
        <f t="shared" si="21"/>
        <v>0</v>
      </c>
      <c r="U53">
        <f t="shared" si="22"/>
        <v>0</v>
      </c>
      <c r="V53">
        <f t="shared" si="23"/>
        <v>0</v>
      </c>
      <c r="W53">
        <f t="shared" si="24"/>
        <v>1</v>
      </c>
      <c r="X53">
        <f>IF(AND($N53&gt;0,$N53&lt;&gt;"",'DDD Model Calculations'!$K$3&gt;=3),$N53-('DDD Model Calculations'!K$13+'DDD Model Calculations'!K$12*WorkingData!$P53),"")</f>
        <v>-45.017276083906609</v>
      </c>
      <c r="Y53">
        <f>IF(AND($N53&gt;0,$N53&lt;&gt;""),$N53-('DDD Model Calculations'!L$13+'DDD Model Calculations'!L$12*WorkingData!$P53),"")</f>
        <v>-49.77005487292513</v>
      </c>
      <c r="Z53">
        <f>IF(AND($N53&gt;0,$N53&lt;&gt;""),$N53-('DDD Model Calculations'!M$13+'DDD Model Calculations'!M$12*WorkingData!$P53),"")</f>
        <v>-15.685246911154309</v>
      </c>
      <c r="AA53">
        <f>IF(AND($N53&gt;0,$N53&lt;&gt;""),$N53-('DDD Model Calculations'!N$13+'DDD Model Calculations'!N$12*WorkingData!$P53),"")</f>
        <v>-5.6393024370847797</v>
      </c>
      <c r="AB53">
        <f>IF(X53&lt;&gt;"",X53/'DDD Model Calculations'!K$11,"")</f>
        <v>-0.20119751415012294</v>
      </c>
      <c r="AC53">
        <f>IF(Y53&lt;&gt;"",Y53/'DDD Model Calculations'!L$11,"")</f>
        <v>-0.28314455378359138</v>
      </c>
      <c r="AD53">
        <f>IF(Z53&lt;&gt;"",Z53/'DDD Model Calculations'!M$11,"")</f>
        <v>-0.10220743417830112</v>
      </c>
      <c r="AE53">
        <f>IF(AA53&lt;&gt;"",AA53/'DDD Model Calculations'!N$11,"")</f>
        <v>-3.7450837431726468E-2</v>
      </c>
      <c r="AF53">
        <f t="shared" si="25"/>
        <v>1</v>
      </c>
      <c r="AG53">
        <f t="shared" si="26"/>
        <v>1</v>
      </c>
      <c r="AH53">
        <f t="shared" si="27"/>
        <v>1</v>
      </c>
      <c r="AI53">
        <f t="shared" si="28"/>
        <v>1</v>
      </c>
    </row>
    <row r="54" spans="1:35" x14ac:dyDescent="0.4">
      <c r="A54" s="2">
        <v>44172</v>
      </c>
      <c r="B54" s="1">
        <v>34</v>
      </c>
      <c r="C54" s="1">
        <v>105507</v>
      </c>
      <c r="D54" t="str">
        <v>A</v>
      </c>
      <c r="E54">
        <v>34928</v>
      </c>
      <c r="F54">
        <v>162463</v>
      </c>
      <c r="G54">
        <f t="shared" si="12"/>
        <v>34928</v>
      </c>
      <c r="H54" s="2">
        <f t="shared" si="13"/>
        <v>44172</v>
      </c>
      <c r="I54">
        <f t="shared" si="14"/>
        <v>34</v>
      </c>
      <c r="J54">
        <f t="shared" si="29"/>
        <v>1613</v>
      </c>
      <c r="K54">
        <f>IF(AND($H55&gt;0,$H55&lt;&gt;""),VLOOKUP($H55,'Weather Data'!$L$2:$P$4170,'DDD Model Calculations'!$D$22,FALSE),"")</f>
        <v>25184.700003422797</v>
      </c>
      <c r="L54">
        <f>IF(AND($K54&gt;0,$K54&lt;&gt;""),VLOOKUP($H54,'Weather Data'!$L$2:$P$4170,'DDD Model Calculations'!$D$22,FALSE),"")</f>
        <v>25609.200003378093</v>
      </c>
      <c r="M54">
        <f t="shared" si="30"/>
        <v>424.49999995529652</v>
      </c>
      <c r="N54">
        <f t="shared" si="18"/>
        <v>1027.2941176470588</v>
      </c>
      <c r="O54">
        <f t="shared" si="19"/>
        <v>12.48529411633225</v>
      </c>
      <c r="P54">
        <f t="shared" si="31"/>
        <v>7.4852941163322502</v>
      </c>
      <c r="Q54">
        <f t="shared" si="20"/>
        <v>1</v>
      </c>
      <c r="R54">
        <f t="shared" si="32"/>
        <v>5</v>
      </c>
      <c r="S54">
        <f>IF('DDD Model Calculations'!$D$23=1,WorkingData!AF54,IF('DDD Model Calculations'!$D$23=2,WorkingData!AG54,IF('DDD Model Calculations'!$D$23=4,WorkingData!AH54,WorkingData!AI54)))</f>
        <v>1</v>
      </c>
      <c r="T54">
        <f t="shared" si="21"/>
        <v>0</v>
      </c>
      <c r="U54">
        <f t="shared" si="22"/>
        <v>0</v>
      </c>
      <c r="V54">
        <f t="shared" si="23"/>
        <v>0</v>
      </c>
      <c r="W54">
        <f t="shared" si="24"/>
        <v>1</v>
      </c>
      <c r="X54">
        <f>IF(AND($N54&gt;0,$N54&lt;&gt;"",'DDD Model Calculations'!$K$3&gt;=3),$N54-('DDD Model Calculations'!K$13+'DDD Model Calculations'!K$12*WorkingData!$P54),"")</f>
        <v>13.503738889536635</v>
      </c>
      <c r="Y54">
        <f>IF(AND($N54&gt;0,$N54&lt;&gt;""),$N54-('DDD Model Calculations'!L$13+'DDD Model Calculations'!L$12*WorkingData!$P54),"")</f>
        <v>23.862958562904851</v>
      </c>
      <c r="Z54">
        <f>IF(AND($N54&gt;0,$N54&lt;&gt;""),$N54-('DDD Model Calculations'!M$13+'DDD Model Calculations'!M$12*WorkingData!$P54),"")</f>
        <v>66.34282167849085</v>
      </c>
      <c r="AA54">
        <f>IF(AND($N54&gt;0,$N54&lt;&gt;""),$N54-('DDD Model Calculations'!N$13+'DDD Model Calculations'!N$12*WorkingData!$P54),"")</f>
        <v>85.145289423077315</v>
      </c>
      <c r="AB54">
        <f>IF(X54&lt;&gt;"",X54/'DDD Model Calculations'!K$11,"")</f>
        <v>6.0352800805697659E-2</v>
      </c>
      <c r="AC54">
        <f>IF(Y54&lt;&gt;"",Y54/'DDD Model Calculations'!L$11,"")</f>
        <v>0.13575767138496056</v>
      </c>
      <c r="AD54">
        <f>IF(Z54&lt;&gt;"",Z54/'DDD Model Calculations'!M$11,"")</f>
        <v>0.43229983042760495</v>
      </c>
      <c r="AE54">
        <f>IF(AA54&lt;&gt;"",AA54/'DDD Model Calculations'!N$11,"")</f>
        <v>0.56545333892561878</v>
      </c>
      <c r="AF54">
        <f t="shared" si="25"/>
        <v>1</v>
      </c>
      <c r="AG54">
        <f t="shared" si="26"/>
        <v>1</v>
      </c>
      <c r="AH54">
        <f t="shared" si="27"/>
        <v>1</v>
      </c>
      <c r="AI54">
        <f t="shared" si="28"/>
        <v>1</v>
      </c>
    </row>
    <row r="55" spans="1:35" x14ac:dyDescent="0.4">
      <c r="A55" s="2">
        <v>44138</v>
      </c>
      <c r="B55" s="1">
        <v>31</v>
      </c>
      <c r="C55" s="1">
        <v>70579</v>
      </c>
      <c r="D55" t="str">
        <v>A</v>
      </c>
      <c r="E55">
        <v>15317</v>
      </c>
      <c r="F55">
        <v>127535</v>
      </c>
      <c r="G55">
        <f t="shared" si="12"/>
        <v>15317</v>
      </c>
      <c r="H55" s="2">
        <f t="shared" si="13"/>
        <v>44138</v>
      </c>
      <c r="I55">
        <f t="shared" si="14"/>
        <v>31</v>
      </c>
      <c r="J55">
        <f t="shared" si="29"/>
        <v>1644</v>
      </c>
      <c r="K55">
        <f>IF(AND($H56&gt;0,$H56&lt;&gt;""),VLOOKUP($H56,'Weather Data'!$L$2:$P$4170,'DDD Model Calculations'!$D$22,FALSE),"")</f>
        <v>24896.30000398308</v>
      </c>
      <c r="L55">
        <f>IF(AND($K55&gt;0,$K55&lt;&gt;""),VLOOKUP($H55,'Weather Data'!$L$2:$P$4170,'DDD Model Calculations'!$D$22,FALSE),"")</f>
        <v>25184.700003422797</v>
      </c>
      <c r="M55">
        <f t="shared" si="30"/>
        <v>288.39999943971634</v>
      </c>
      <c r="N55">
        <f t="shared" si="18"/>
        <v>494.09677419354841</v>
      </c>
      <c r="O55">
        <f t="shared" si="19"/>
        <v>9.3032257883779472</v>
      </c>
      <c r="P55">
        <f t="shared" si="31"/>
        <v>4.3032257883779472</v>
      </c>
      <c r="Q55">
        <f t="shared" si="20"/>
        <v>1</v>
      </c>
      <c r="R55">
        <f t="shared" si="32"/>
        <v>5</v>
      </c>
      <c r="S55">
        <f>IF('DDD Model Calculations'!$D$23=1,WorkingData!AF55,IF('DDD Model Calculations'!$D$23=2,WorkingData!AG55,IF('DDD Model Calculations'!$D$23=4,WorkingData!AH55,WorkingData!AI55)))</f>
        <v>0</v>
      </c>
      <c r="T55">
        <f t="shared" si="21"/>
        <v>0</v>
      </c>
      <c r="U55">
        <f t="shared" si="22"/>
        <v>0</v>
      </c>
      <c r="V55">
        <f t="shared" si="23"/>
        <v>0</v>
      </c>
      <c r="W55">
        <f t="shared" si="24"/>
        <v>1</v>
      </c>
      <c r="X55">
        <f>IF(AND($N55&gt;0,$N55&lt;&gt;"",'DDD Model Calculations'!$K$3&gt;=3),$N55-('DDD Model Calculations'!K$13+'DDD Model Calculations'!K$12*WorkingData!$P55),"")</f>
        <v>-400.37871914538562</v>
      </c>
      <c r="Y55">
        <f>IF(AND($N55&gt;0,$N55&lt;&gt;""),$N55-('DDD Model Calculations'!L$13+'DDD Model Calculations'!L$12*WorkingData!$P55),"")</f>
        <v>-381.63517594915277</v>
      </c>
      <c r="Z55">
        <f>IF(AND($N55&gt;0,$N55&lt;&gt;""),$N55-('DDD Model Calculations'!M$13+'DDD Model Calculations'!M$12*WorkingData!$P55),"")</f>
        <v>-334.49763247599753</v>
      </c>
      <c r="AA55">
        <f>IF(AND($N55&gt;0,$N55&lt;&gt;""),$N55-('DDD Model Calculations'!N$13+'DDD Model Calculations'!N$12*WorkingData!$P55),"")</f>
        <v>-310.83693739514979</v>
      </c>
      <c r="AB55">
        <f>IF(X55&lt;&gt;"",X55/'DDD Model Calculations'!K$11,"")</f>
        <v>-1.7894286375860888</v>
      </c>
      <c r="AC55">
        <f>IF(Y55&lt;&gt;"",Y55/'DDD Model Calculations'!L$11,"")</f>
        <v>-2.1711433085244329</v>
      </c>
      <c r="AD55">
        <f>IF(Z55&lt;&gt;"",Z55/'DDD Model Calculations'!M$11,"")</f>
        <v>-2.1796370148164983</v>
      </c>
      <c r="AE55">
        <f>IF(AA55&lt;&gt;"",AA55/'DDD Model Calculations'!N$11,"")</f>
        <v>-2.0642807758647761</v>
      </c>
      <c r="AF55">
        <f t="shared" si="25"/>
        <v>1</v>
      </c>
      <c r="AG55">
        <f t="shared" si="26"/>
        <v>0</v>
      </c>
      <c r="AH55">
        <f t="shared" si="27"/>
        <v>0</v>
      </c>
      <c r="AI55">
        <f t="shared" si="28"/>
        <v>0</v>
      </c>
    </row>
    <row r="56" spans="1:35" x14ac:dyDescent="0.4">
      <c r="A56" s="2">
        <v>44107</v>
      </c>
      <c r="B56" s="1">
        <v>30</v>
      </c>
      <c r="C56" s="1">
        <v>55262</v>
      </c>
      <c r="D56" t="str">
        <v>A</v>
      </c>
      <c r="E56">
        <v>6144</v>
      </c>
      <c r="F56">
        <v>112218</v>
      </c>
      <c r="G56">
        <f t="shared" si="12"/>
        <v>6144</v>
      </c>
      <c r="H56" s="2">
        <f t="shared" si="13"/>
        <v>44107</v>
      </c>
      <c r="I56">
        <f t="shared" si="14"/>
        <v>30</v>
      </c>
      <c r="J56">
        <f t="shared" si="29"/>
        <v>1674</v>
      </c>
      <c r="K56">
        <f>IF(AND($H57&gt;0,$H57&lt;&gt;""),VLOOKUP($H57,'Weather Data'!$L$2:$P$4170,'DDD Model Calculations'!$D$22,FALSE),"")</f>
        <v>24805.00000474602</v>
      </c>
      <c r="L56">
        <f>IF(AND($K56&gt;0,$K56&lt;&gt;""),VLOOKUP($H56,'Weather Data'!$L$2:$P$4170,'DDD Model Calculations'!$D$22,FALSE),"")</f>
        <v>24896.30000398308</v>
      </c>
      <c r="M56">
        <f t="shared" si="30"/>
        <v>91.299999237060547</v>
      </c>
      <c r="N56">
        <f t="shared" si="18"/>
        <v>204.8</v>
      </c>
      <c r="O56">
        <f t="shared" si="19"/>
        <v>3.0433333079020182</v>
      </c>
      <c r="P56">
        <f t="shared" si="31"/>
        <v>-1.9566666920979818</v>
      </c>
      <c r="Q56">
        <f t="shared" si="20"/>
        <v>0</v>
      </c>
      <c r="R56">
        <f t="shared" si="32"/>
        <v>5</v>
      </c>
      <c r="S56">
        <f>IF('DDD Model Calculations'!$D$23=1,WorkingData!AF56,IF('DDD Model Calculations'!$D$23=2,WorkingData!AG56,IF('DDD Model Calculations'!$D$23=4,WorkingData!AH56,WorkingData!AI56)))</f>
        <v>0</v>
      </c>
      <c r="T56">
        <f t="shared" si="21"/>
        <v>0</v>
      </c>
      <c r="U56">
        <f t="shared" si="22"/>
        <v>0</v>
      </c>
      <c r="V56">
        <f t="shared" si="23"/>
        <v>0</v>
      </c>
      <c r="W56">
        <f t="shared" si="24"/>
        <v>1</v>
      </c>
      <c r="X56">
        <f>IF(AND($N56&gt;0,$N56&lt;&gt;"",'DDD Model Calculations'!$K$3&gt;=3),$N56-('DDD Model Calculations'!K$13+'DDD Model Calculations'!K$12*WorkingData!$P56),"")</f>
        <v>-454.95446378742992</v>
      </c>
      <c r="Y56">
        <f>IF(AND($N56&gt;0,$N56&lt;&gt;""),$N56-('DDD Model Calculations'!L$13+'DDD Model Calculations'!L$12*WorkingData!$P56),"")</f>
        <v>-419.7169429749469</v>
      </c>
      <c r="Z56">
        <f>IF(AND($N56&gt;0,$N56&lt;&gt;""),$N56-('DDD Model Calculations'!M$13+'DDD Model Calculations'!M$12*WorkingData!$P56),"")</f>
        <v>-363.41662383457259</v>
      </c>
      <c r="AA56">
        <f>IF(AND($N56&gt;0,$N56&lt;&gt;""),$N56-('DDD Model Calculations'!N$13+'DDD Model Calculations'!N$12*WorkingData!$P56),"")</f>
        <v>-330.19862902400581</v>
      </c>
      <c r="AB56">
        <f>IF(X56&lt;&gt;"",X56/'DDD Model Calculations'!K$11,"")</f>
        <v>-2.0333461979112606</v>
      </c>
      <c r="AC56">
        <f>IF(Y56&lt;&gt;"",Y56/'DDD Model Calculations'!L$11,"")</f>
        <v>-2.3877925559351469</v>
      </c>
      <c r="AD56">
        <f>IF(Z56&lt;&gt;"",Z56/'DDD Model Calculations'!M$11,"")</f>
        <v>-2.368077523437532</v>
      </c>
      <c r="AE56">
        <f>IF(AA56&lt;&gt;"",AA56/'DDD Model Calculations'!N$11,"")</f>
        <v>-2.1928625594603997</v>
      </c>
      <c r="AF56">
        <f t="shared" si="25"/>
        <v>0</v>
      </c>
      <c r="AG56">
        <f t="shared" si="26"/>
        <v>0</v>
      </c>
      <c r="AH56">
        <f t="shared" si="27"/>
        <v>0</v>
      </c>
      <c r="AI56">
        <f t="shared" si="28"/>
        <v>0</v>
      </c>
    </row>
    <row r="57" spans="1:35" x14ac:dyDescent="0.4">
      <c r="A57" s="2">
        <v>44077</v>
      </c>
      <c r="B57" s="1">
        <v>28</v>
      </c>
      <c r="C57" s="1">
        <v>49118</v>
      </c>
      <c r="D57" t="str">
        <v>A</v>
      </c>
      <c r="E57">
        <v>5045</v>
      </c>
      <c r="F57">
        <v>106074</v>
      </c>
      <c r="G57">
        <f t="shared" si="12"/>
        <v>5045</v>
      </c>
      <c r="H57" s="2">
        <f t="shared" si="13"/>
        <v>44077</v>
      </c>
      <c r="I57">
        <f t="shared" si="14"/>
        <v>28</v>
      </c>
      <c r="J57">
        <f t="shared" si="29"/>
        <v>1702</v>
      </c>
      <c r="K57">
        <f>IF(AND($H58&gt;0,$H58&lt;&gt;""),VLOOKUP($H58,'Weather Data'!$L$2:$P$4170,'DDD Model Calculations'!$D$22,FALSE),"")</f>
        <v>24804.200005508959</v>
      </c>
      <c r="L57">
        <f>IF(AND($K57&gt;0,$K57&lt;&gt;""),VLOOKUP($H57,'Weather Data'!$L$2:$P$4170,'DDD Model Calculations'!$D$22,FALSE),"")</f>
        <v>24805.00000474602</v>
      </c>
      <c r="M57">
        <f t="shared" si="30"/>
        <v>0.79999923706054688</v>
      </c>
      <c r="N57">
        <f t="shared" si="18"/>
        <v>180.17857142857142</v>
      </c>
      <c r="O57">
        <f t="shared" si="19"/>
        <v>2.8571401323590959E-2</v>
      </c>
      <c r="P57">
        <f t="shared" si="31"/>
        <v>-4.9714285986764093</v>
      </c>
      <c r="Q57">
        <f t="shared" si="20"/>
        <v>0</v>
      </c>
      <c r="R57">
        <f t="shared" si="32"/>
        <v>5</v>
      </c>
      <c r="S57">
        <f>IF('DDD Model Calculations'!$D$23=1,WorkingData!AF57,IF('DDD Model Calculations'!$D$23=2,WorkingData!AG57,IF('DDD Model Calculations'!$D$23=4,WorkingData!AH57,WorkingData!AI57)))</f>
        <v>1</v>
      </c>
      <c r="T57">
        <f t="shared" si="21"/>
        <v>0</v>
      </c>
      <c r="U57">
        <f t="shared" si="22"/>
        <v>0</v>
      </c>
      <c r="V57">
        <f t="shared" si="23"/>
        <v>0</v>
      </c>
      <c r="W57">
        <f t="shared" si="24"/>
        <v>1</v>
      </c>
      <c r="X57">
        <f>IF(AND($N57&gt;0,$N57&lt;&gt;"",'DDD Model Calculations'!$K$3&gt;=3),$N57-('DDD Model Calculations'!K$13+'DDD Model Calculations'!K$12*WorkingData!$P57),"")</f>
        <v>-366.53433121834757</v>
      </c>
      <c r="Y57">
        <f>IF(AND($N57&gt;0,$N57&lt;&gt;""),$N57-('DDD Model Calculations'!L$13+'DDD Model Calculations'!L$12*WorkingData!$P57),"")</f>
        <v>-323.35331687773817</v>
      </c>
      <c r="Z57">
        <f>IF(AND($N57&gt;0,$N57&lt;&gt;""),$N57-('DDD Model Calculations'!M$13+'DDD Model Calculations'!M$12*WorkingData!$P57),"")</f>
        <v>-262.64020836019608</v>
      </c>
      <c r="AA57">
        <f>IF(AND($N57&gt;0,$N57&lt;&gt;""),$N57-('DDD Model Calculations'!N$13+'DDD Model Calculations'!N$12*WorkingData!$P57),"")</f>
        <v>-224.81942152967477</v>
      </c>
      <c r="AB57">
        <f>IF(X57&lt;&gt;"",X57/'DDD Model Calculations'!K$11,"")</f>
        <v>-1.6381665597526678</v>
      </c>
      <c r="AC57">
        <f>IF(Y57&lt;&gt;"",Y57/'DDD Model Calculations'!L$11,"")</f>
        <v>-1.839574636908782</v>
      </c>
      <c r="AD57">
        <f>IF(Z57&lt;&gt;"",Z57/'DDD Model Calculations'!M$11,"")</f>
        <v>-1.7114032033158824</v>
      </c>
      <c r="AE57">
        <f>IF(AA57&lt;&gt;"",AA57/'DDD Model Calculations'!N$11,"")</f>
        <v>-1.4930349455694667</v>
      </c>
      <c r="AF57">
        <f t="shared" si="25"/>
        <v>1</v>
      </c>
      <c r="AG57">
        <f t="shared" si="26"/>
        <v>1</v>
      </c>
      <c r="AH57">
        <f t="shared" si="27"/>
        <v>1</v>
      </c>
      <c r="AI57">
        <f t="shared" si="28"/>
        <v>1</v>
      </c>
    </row>
    <row r="58" spans="1:35" x14ac:dyDescent="0.4">
      <c r="A58" s="2">
        <v>44049</v>
      </c>
      <c r="B58" s="1">
        <v>34</v>
      </c>
      <c r="C58" s="1">
        <v>44073</v>
      </c>
      <c r="D58" t="str">
        <v>A</v>
      </c>
      <c r="E58">
        <v>6201</v>
      </c>
      <c r="F58">
        <v>101029</v>
      </c>
      <c r="G58">
        <f t="shared" si="12"/>
        <v>6201</v>
      </c>
      <c r="H58" s="2">
        <f t="shared" si="13"/>
        <v>44049</v>
      </c>
      <c r="I58">
        <f t="shared" si="14"/>
        <v>34</v>
      </c>
      <c r="J58">
        <f t="shared" si="29"/>
        <v>1736</v>
      </c>
      <c r="K58">
        <f>IF(AND($H59&gt;0,$H59&lt;&gt;""),VLOOKUP($H59,'Weather Data'!$L$2:$P$4170,'DDD Model Calculations'!$D$22,FALSE),"")</f>
        <v>24804.200005508959</v>
      </c>
      <c r="L58">
        <f>IF(AND($K58&gt;0,$K58&lt;&gt;""),VLOOKUP($H58,'Weather Data'!$L$2:$P$4170,'DDD Model Calculations'!$D$22,FALSE),"")</f>
        <v>24804.200005508959</v>
      </c>
      <c r="M58">
        <f t="shared" si="30"/>
        <v>0</v>
      </c>
      <c r="N58">
        <f t="shared" si="18"/>
        <v>182.38235294117646</v>
      </c>
      <c r="O58">
        <f t="shared" si="19"/>
        <v>0</v>
      </c>
      <c r="P58">
        <f t="shared" si="31"/>
        <v>-5</v>
      </c>
      <c r="Q58">
        <f t="shared" si="20"/>
        <v>0</v>
      </c>
      <c r="R58">
        <f t="shared" si="32"/>
        <v>5</v>
      </c>
      <c r="S58">
        <f>IF('DDD Model Calculations'!$D$23=1,WorkingData!AF58,IF('DDD Model Calculations'!$D$23=2,WorkingData!AG58,IF('DDD Model Calculations'!$D$23=4,WorkingData!AH58,WorkingData!AI58)))</f>
        <v>1</v>
      </c>
      <c r="T58">
        <f t="shared" si="21"/>
        <v>0</v>
      </c>
      <c r="U58">
        <f t="shared" si="22"/>
        <v>0</v>
      </c>
      <c r="V58">
        <f t="shared" si="23"/>
        <v>0</v>
      </c>
      <c r="W58">
        <f t="shared" si="24"/>
        <v>1</v>
      </c>
      <c r="X58">
        <f>IF(AND($N58&gt;0,$N58&lt;&gt;"",'DDD Model Calculations'!$K$3&gt;=3),$N58-('DDD Model Calculations'!K$13+'DDD Model Calculations'!K$12*WorkingData!$P58),"")</f>
        <v>-363.25923598025622</v>
      </c>
      <c r="Y58">
        <f>IF(AND($N58&gt;0,$N58&lt;&gt;""),$N58-('DDD Model Calculations'!L$13+'DDD Model Calculations'!L$12*WorkingData!$P58),"")</f>
        <v>-320.00293982684161</v>
      </c>
      <c r="Z58">
        <f>IF(AND($N58&gt;0,$N58&lt;&gt;""),$N58-('DDD Model Calculations'!M$13+'DDD Model Calculations'!M$12*WorkingData!$P58),"")</f>
        <v>-259.24801056850515</v>
      </c>
      <c r="AA58">
        <f>IF(AND($N58&gt;0,$N58&lt;&gt;""),$N58-('DDD Model Calculations'!N$13+'DDD Model Calculations'!N$12*WorkingData!$P58),"")</f>
        <v>-221.38360231045942</v>
      </c>
      <c r="AB58">
        <f>IF(X58&lt;&gt;"",X58/'DDD Model Calculations'!K$11,"")</f>
        <v>-1.6235290454952369</v>
      </c>
      <c r="AC58">
        <f>IF(Y58&lt;&gt;"",Y58/'DDD Model Calculations'!L$11,"")</f>
        <v>-1.8205141593283374</v>
      </c>
      <c r="AD58">
        <f>IF(Z58&lt;&gt;"",Z58/'DDD Model Calculations'!M$11,"")</f>
        <v>-1.6892991309682883</v>
      </c>
      <c r="AE58">
        <f>IF(AA58&lt;&gt;"",AA58/'DDD Model Calculations'!N$11,"")</f>
        <v>-1.4702175300363935</v>
      </c>
      <c r="AF58">
        <f t="shared" si="25"/>
        <v>1</v>
      </c>
      <c r="AG58">
        <f t="shared" si="26"/>
        <v>1</v>
      </c>
      <c r="AH58">
        <f t="shared" si="27"/>
        <v>1</v>
      </c>
      <c r="AI58">
        <f t="shared" si="28"/>
        <v>1</v>
      </c>
    </row>
    <row r="59" spans="1:35" x14ac:dyDescent="0.4">
      <c r="A59" s="2">
        <v>44015</v>
      </c>
      <c r="B59" s="1">
        <v>30</v>
      </c>
      <c r="C59" s="1">
        <v>37872</v>
      </c>
      <c r="D59" t="str">
        <v>A</v>
      </c>
      <c r="E59">
        <v>6328</v>
      </c>
      <c r="F59">
        <v>94828</v>
      </c>
      <c r="G59">
        <f t="shared" si="12"/>
        <v>6328</v>
      </c>
      <c r="H59" s="2">
        <f t="shared" si="13"/>
        <v>44015</v>
      </c>
      <c r="I59">
        <f t="shared" si="14"/>
        <v>30</v>
      </c>
      <c r="J59">
        <f t="shared" si="29"/>
        <v>1766</v>
      </c>
      <c r="K59">
        <f>IF(AND($H60&gt;0,$H60&lt;&gt;""),VLOOKUP($H60,'Weather Data'!$L$2:$P$4170,'DDD Model Calculations'!$D$22,FALSE),"")</f>
        <v>24782.60000512749</v>
      </c>
      <c r="L59">
        <f>IF(AND($K59&gt;0,$K59&lt;&gt;""),VLOOKUP($H59,'Weather Data'!$L$2:$P$4170,'DDD Model Calculations'!$D$22,FALSE),"")</f>
        <v>24804.200005508959</v>
      </c>
      <c r="M59">
        <f t="shared" si="30"/>
        <v>21.600000381469727</v>
      </c>
      <c r="N59">
        <f t="shared" si="18"/>
        <v>210.93333333333334</v>
      </c>
      <c r="O59">
        <f t="shared" si="19"/>
        <v>0.7200000127156575</v>
      </c>
      <c r="P59">
        <f t="shared" si="31"/>
        <v>-4.2799999872843424</v>
      </c>
      <c r="Q59">
        <f t="shared" si="20"/>
        <v>0</v>
      </c>
      <c r="R59">
        <f t="shared" si="32"/>
        <v>5</v>
      </c>
      <c r="S59">
        <f>IF('DDD Model Calculations'!$D$23=1,WorkingData!AF59,IF('DDD Model Calculations'!$D$23=2,WorkingData!AG59,IF('DDD Model Calculations'!$D$23=4,WorkingData!AH59,WorkingData!AI59)))</f>
        <v>1</v>
      </c>
      <c r="T59">
        <f t="shared" si="21"/>
        <v>0</v>
      </c>
      <c r="U59">
        <f t="shared" si="22"/>
        <v>0</v>
      </c>
      <c r="V59">
        <f t="shared" si="23"/>
        <v>0</v>
      </c>
      <c r="W59">
        <f t="shared" si="24"/>
        <v>1</v>
      </c>
      <c r="X59">
        <f>IF(AND($N59&gt;0,$N59&lt;&gt;"",'DDD Model Calculations'!$K$3&gt;=3),$N59-('DDD Model Calculations'!K$13+'DDD Model Calculations'!K$12*WorkingData!$P59),"")</f>
        <v>-361.70538769361229</v>
      </c>
      <c r="Y59">
        <f>IF(AND($N59&gt;0,$N59&lt;&gt;""),$N59-('DDD Model Calculations'!L$13+'DDD Model Calculations'!L$12*WorkingData!$P59),"")</f>
        <v>-320.3461950656129</v>
      </c>
      <c r="Z59">
        <f>IF(AND($N59&gt;0,$N59&lt;&gt;""),$N59-('DDD Model Calculations'!M$13+'DDD Model Calculations'!M$12*WorkingData!$P59),"")</f>
        <v>-260.64514949896687</v>
      </c>
      <c r="AA59">
        <f>IF(AND($N59&gt;0,$N59&lt;&gt;""),$N59-('DDD Model Calculations'!N$13+'DDD Model Calculations'!N$12*WorkingData!$P59),"")</f>
        <v>-223.88000228228674</v>
      </c>
      <c r="AB59">
        <f>IF(X59&lt;&gt;"",X59/'DDD Model Calculations'!K$11,"")</f>
        <v>-1.6165843691435073</v>
      </c>
      <c r="AC59">
        <f>IF(Y59&lt;&gt;"",Y59/'DDD Model Calculations'!L$11,"")</f>
        <v>-1.8224669570832108</v>
      </c>
      <c r="AD59">
        <f>IF(Z59&lt;&gt;"",Z59/'DDD Model Calculations'!M$11,"")</f>
        <v>-1.6984030989250543</v>
      </c>
      <c r="AE59">
        <f>IF(AA59&lt;&gt;"",AA59/'DDD Model Calculations'!N$11,"")</f>
        <v>-1.4867962240419952</v>
      </c>
      <c r="AF59">
        <f t="shared" si="25"/>
        <v>1</v>
      </c>
      <c r="AG59">
        <f t="shared" si="26"/>
        <v>1</v>
      </c>
      <c r="AH59">
        <f t="shared" si="27"/>
        <v>1</v>
      </c>
      <c r="AI59">
        <f t="shared" si="28"/>
        <v>1</v>
      </c>
    </row>
    <row r="60" spans="1:35" x14ac:dyDescent="0.4">
      <c r="A60" s="2">
        <v>43985</v>
      </c>
      <c r="B60" s="1">
        <v>30</v>
      </c>
      <c r="C60" s="1">
        <v>31544</v>
      </c>
      <c r="D60" t="str">
        <v>A</v>
      </c>
      <c r="E60">
        <v>16510</v>
      </c>
      <c r="F60">
        <v>88500</v>
      </c>
      <c r="G60">
        <f t="shared" si="12"/>
        <v>16510</v>
      </c>
      <c r="H60" s="2">
        <f t="shared" si="13"/>
        <v>43985</v>
      </c>
      <c r="I60">
        <f t="shared" si="14"/>
        <v>30</v>
      </c>
      <c r="J60">
        <f t="shared" si="29"/>
        <v>1796</v>
      </c>
      <c r="K60">
        <f>IF(AND($H61&gt;0,$H61&lt;&gt;""),VLOOKUP($H61,'Weather Data'!$L$2:$P$4170,'DDD Model Calculations'!$D$22,FALSE),"")</f>
        <v>24601.90000436455</v>
      </c>
      <c r="L60">
        <f>IF(AND($K60&gt;0,$K60&lt;&gt;""),VLOOKUP($H60,'Weather Data'!$L$2:$P$4170,'DDD Model Calculations'!$D$22,FALSE),"")</f>
        <v>24782.60000512749</v>
      </c>
      <c r="M60">
        <f t="shared" si="30"/>
        <v>180.70000076293945</v>
      </c>
      <c r="N60">
        <f t="shared" si="18"/>
        <v>550.33333333333337</v>
      </c>
      <c r="O60">
        <f t="shared" si="19"/>
        <v>6.0233333587646483</v>
      </c>
      <c r="P60">
        <f t="shared" si="31"/>
        <v>1.0233333587646483</v>
      </c>
      <c r="Q60">
        <f t="shared" si="20"/>
        <v>1</v>
      </c>
      <c r="R60">
        <f t="shared" si="32"/>
        <v>5</v>
      </c>
      <c r="S60">
        <f>IF('DDD Model Calculations'!$D$23=1,WorkingData!AF60,IF('DDD Model Calculations'!$D$23=2,WorkingData!AG60,IF('DDD Model Calculations'!$D$23=4,WorkingData!AH60,WorkingData!AI60)))</f>
        <v>1</v>
      </c>
      <c r="T60">
        <f t="shared" si="21"/>
        <v>0</v>
      </c>
      <c r="U60">
        <f t="shared" si="22"/>
        <v>0</v>
      </c>
      <c r="V60">
        <f t="shared" si="23"/>
        <v>0</v>
      </c>
      <c r="W60">
        <f t="shared" si="24"/>
        <v>1</v>
      </c>
      <c r="X60">
        <f>IF(AND($N60&gt;0,$N60&lt;&gt;"",'DDD Model Calculations'!$K$3&gt;=3),$N60-('DDD Model Calculations'!K$13+'DDD Model Calculations'!K$12*WorkingData!$P60),"")</f>
        <v>-221.1592604912488</v>
      </c>
      <c r="Y60">
        <f>IF(AND($N60&gt;0,$N60&lt;&gt;""),$N60-('DDD Model Calculations'!L$13+'DDD Model Calculations'!L$12*WorkingData!$P60),"")</f>
        <v>-193.77364037652603</v>
      </c>
      <c r="Z60">
        <f>IF(AND($N60&gt;0,$N60&lt;&gt;""),$N60-('DDD Model Calculations'!M$13+'DDD Model Calculations'!M$12*WorkingData!$P60),"")</f>
        <v>-141.83522873528489</v>
      </c>
      <c r="AA60">
        <f>IF(AND($N60&gt;0,$N60&lt;&gt;""),$N60-('DDD Model Calculations'!N$13+'DDD Model Calculations'!N$12*WorkingData!$P60),"")</f>
        <v>-113.16695323211866</v>
      </c>
      <c r="AB60">
        <f>IF(X60&lt;&gt;"",X60/'DDD Model Calculations'!K$11,"")</f>
        <v>-0.98843593644321015</v>
      </c>
      <c r="AC60">
        <f>IF(Y60&lt;&gt;"",Y60/'DDD Model Calculations'!L$11,"")</f>
        <v>-1.1023887974308946</v>
      </c>
      <c r="AD60">
        <f>IF(Z60&lt;&gt;"",Z60/'DDD Model Calculations'!M$11,"")</f>
        <v>-0.92421973892020026</v>
      </c>
      <c r="AE60">
        <f>IF(AA60&lt;&gt;"",AA60/'DDD Model Calculations'!N$11,"")</f>
        <v>-0.75154635088711275</v>
      </c>
      <c r="AF60">
        <f t="shared" si="25"/>
        <v>1</v>
      </c>
      <c r="AG60">
        <f t="shared" si="26"/>
        <v>1</v>
      </c>
      <c r="AH60">
        <f t="shared" si="27"/>
        <v>1</v>
      </c>
      <c r="AI60">
        <f t="shared" si="28"/>
        <v>1</v>
      </c>
    </row>
    <row r="61" spans="1:35" x14ac:dyDescent="0.4">
      <c r="A61" s="2">
        <v>43955</v>
      </c>
      <c r="B61" s="1">
        <v>62</v>
      </c>
      <c r="C61" s="1">
        <v>15034</v>
      </c>
      <c r="D61" t="str">
        <v>A</v>
      </c>
      <c r="E61">
        <v>71990</v>
      </c>
      <c r="F61">
        <v>71990</v>
      </c>
      <c r="G61" t="str">
        <f t="shared" si="12"/>
        <v/>
      </c>
      <c r="H61" s="2">
        <f t="shared" si="13"/>
        <v>43955</v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4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4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4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4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4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4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4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4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4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4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4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4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4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4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4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4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4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4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4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4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4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4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4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4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4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4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4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4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4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4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4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4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4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4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4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4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4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4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4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4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4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4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4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4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4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4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4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4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4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4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4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4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4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4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4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4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4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4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4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4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4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4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4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4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4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4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4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4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4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4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4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4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6" x14ac:dyDescent="0.4"/>
  <cols>
    <col min="1" max="1" width="10.83203125" style="20"/>
  </cols>
  <sheetData>
    <row r="1" spans="1:6" x14ac:dyDescent="0.4">
      <c r="A1" s="21" t="s">
        <v>4</v>
      </c>
      <c r="B1" s="22" t="s">
        <v>5</v>
      </c>
      <c r="C1" s="22" t="s">
        <v>6</v>
      </c>
      <c r="D1" s="22" t="s">
        <v>7</v>
      </c>
      <c r="E1" s="22" t="s">
        <v>80</v>
      </c>
      <c r="F1" s="22" t="s">
        <v>81</v>
      </c>
    </row>
    <row r="2" spans="1:6" x14ac:dyDescent="0.4">
      <c r="A2" s="20" cm="1">
        <f t="array" ref="A2:E133">_xlfn._xlws.SORT('Consumption Data Input'!C3:G134,1,1)</f>
        <v>43955</v>
      </c>
      <c r="B2">
        <v>62</v>
      </c>
      <c r="C2">
        <v>15034</v>
      </c>
      <c r="D2" t="str">
        <v>A</v>
      </c>
      <c r="E2">
        <v>71990</v>
      </c>
      <c r="F2">
        <f>E2</f>
        <v>71990</v>
      </c>
    </row>
    <row r="3" spans="1:6" x14ac:dyDescent="0.4">
      <c r="A3" s="20">
        <v>43985</v>
      </c>
      <c r="B3">
        <v>30</v>
      </c>
      <c r="C3">
        <v>31544</v>
      </c>
      <c r="D3" t="str">
        <v>A</v>
      </c>
      <c r="E3">
        <v>16510</v>
      </c>
      <c r="F3">
        <f>E3+F2</f>
        <v>88500</v>
      </c>
    </row>
    <row r="4" spans="1:6" x14ac:dyDescent="0.4">
      <c r="A4" s="20">
        <v>44015</v>
      </c>
      <c r="B4">
        <v>30</v>
      </c>
      <c r="C4">
        <v>37872</v>
      </c>
      <c r="D4" t="str">
        <v>A</v>
      </c>
      <c r="E4">
        <v>6328</v>
      </c>
      <c r="F4">
        <f t="shared" ref="F4:F67" si="0">E4+F3</f>
        <v>94828</v>
      </c>
    </row>
    <row r="5" spans="1:6" x14ac:dyDescent="0.4">
      <c r="A5" s="20">
        <v>44049</v>
      </c>
      <c r="B5">
        <v>34</v>
      </c>
      <c r="C5">
        <v>44073</v>
      </c>
      <c r="D5" t="str">
        <v>A</v>
      </c>
      <c r="E5">
        <v>6201</v>
      </c>
      <c r="F5">
        <f t="shared" si="0"/>
        <v>101029</v>
      </c>
    </row>
    <row r="6" spans="1:6" x14ac:dyDescent="0.4">
      <c r="A6" s="20">
        <v>44077</v>
      </c>
      <c r="B6">
        <v>28</v>
      </c>
      <c r="C6">
        <v>49118</v>
      </c>
      <c r="D6" t="str">
        <v>A</v>
      </c>
      <c r="E6">
        <v>5045</v>
      </c>
      <c r="F6">
        <f t="shared" si="0"/>
        <v>106074</v>
      </c>
    </row>
    <row r="7" spans="1:6" x14ac:dyDescent="0.4">
      <c r="A7" s="20">
        <v>44107</v>
      </c>
      <c r="B7">
        <v>30</v>
      </c>
      <c r="C7">
        <v>55262</v>
      </c>
      <c r="D7" t="str">
        <v>A</v>
      </c>
      <c r="E7">
        <v>6144</v>
      </c>
      <c r="F7">
        <f t="shared" si="0"/>
        <v>112218</v>
      </c>
    </row>
    <row r="8" spans="1:6" x14ac:dyDescent="0.4">
      <c r="A8" s="20">
        <v>44138</v>
      </c>
      <c r="B8">
        <v>31</v>
      </c>
      <c r="C8">
        <v>70579</v>
      </c>
      <c r="D8" t="str">
        <v>A</v>
      </c>
      <c r="E8">
        <v>15317</v>
      </c>
      <c r="F8">
        <f t="shared" si="0"/>
        <v>127535</v>
      </c>
    </row>
    <row r="9" spans="1:6" x14ac:dyDescent="0.4">
      <c r="A9" s="20">
        <v>44172</v>
      </c>
      <c r="B9">
        <v>34</v>
      </c>
      <c r="C9">
        <v>105507</v>
      </c>
      <c r="D9" t="str">
        <v>A</v>
      </c>
      <c r="E9">
        <v>34928</v>
      </c>
      <c r="F9">
        <f t="shared" si="0"/>
        <v>162463</v>
      </c>
    </row>
    <row r="10" spans="1:6" x14ac:dyDescent="0.4">
      <c r="A10" s="20">
        <v>44201</v>
      </c>
      <c r="B10">
        <v>29</v>
      </c>
      <c r="C10">
        <v>139838</v>
      </c>
      <c r="D10" t="str">
        <v>A</v>
      </c>
      <c r="E10">
        <v>34331</v>
      </c>
      <c r="F10">
        <f t="shared" si="0"/>
        <v>196794</v>
      </c>
    </row>
    <row r="11" spans="1:6" x14ac:dyDescent="0.4">
      <c r="A11" s="20">
        <v>44230</v>
      </c>
      <c r="B11">
        <v>29</v>
      </c>
      <c r="C11">
        <v>173616</v>
      </c>
      <c r="D11" t="str">
        <v>A</v>
      </c>
      <c r="E11">
        <v>33778</v>
      </c>
      <c r="F11">
        <f t="shared" si="0"/>
        <v>230572</v>
      </c>
    </row>
    <row r="12" spans="1:6" x14ac:dyDescent="0.4">
      <c r="A12" s="20">
        <v>44259</v>
      </c>
      <c r="B12">
        <v>29</v>
      </c>
      <c r="C12">
        <v>213272</v>
      </c>
      <c r="D12" t="str">
        <v>A</v>
      </c>
      <c r="E12">
        <v>39656</v>
      </c>
      <c r="F12">
        <f t="shared" si="0"/>
        <v>270228</v>
      </c>
    </row>
    <row r="13" spans="1:6" x14ac:dyDescent="0.4">
      <c r="A13" s="20">
        <v>44287</v>
      </c>
      <c r="B13">
        <v>28</v>
      </c>
      <c r="C13">
        <v>244229</v>
      </c>
      <c r="D13" t="str">
        <v>A</v>
      </c>
      <c r="E13">
        <v>30957</v>
      </c>
      <c r="F13">
        <f t="shared" si="0"/>
        <v>301185</v>
      </c>
    </row>
    <row r="14" spans="1:6" x14ac:dyDescent="0.4">
      <c r="A14" s="20">
        <v>44320</v>
      </c>
      <c r="B14">
        <v>33</v>
      </c>
      <c r="C14">
        <v>272546</v>
      </c>
      <c r="D14" t="str">
        <v>A</v>
      </c>
      <c r="E14">
        <v>28317</v>
      </c>
      <c r="F14">
        <f t="shared" si="0"/>
        <v>329502</v>
      </c>
    </row>
    <row r="15" spans="1:6" x14ac:dyDescent="0.4">
      <c r="A15" s="20">
        <v>44348</v>
      </c>
      <c r="B15">
        <v>28</v>
      </c>
      <c r="C15">
        <v>286019</v>
      </c>
      <c r="D15" t="str">
        <v>A</v>
      </c>
      <c r="E15">
        <v>13473</v>
      </c>
      <c r="F15">
        <f t="shared" si="0"/>
        <v>342975</v>
      </c>
    </row>
    <row r="16" spans="1:6" x14ac:dyDescent="0.4">
      <c r="A16" s="20">
        <v>44378</v>
      </c>
      <c r="B16">
        <v>30</v>
      </c>
      <c r="C16">
        <v>291265</v>
      </c>
      <c r="D16" t="str">
        <v>A</v>
      </c>
      <c r="E16">
        <v>5246</v>
      </c>
      <c r="F16">
        <f t="shared" si="0"/>
        <v>348221</v>
      </c>
    </row>
    <row r="17" spans="1:6" x14ac:dyDescent="0.4">
      <c r="A17" s="20">
        <v>44409</v>
      </c>
      <c r="B17">
        <v>31</v>
      </c>
      <c r="C17">
        <v>296231</v>
      </c>
      <c r="D17" t="str">
        <v>A</v>
      </c>
      <c r="E17">
        <v>4966</v>
      </c>
      <c r="F17">
        <f t="shared" si="0"/>
        <v>353187</v>
      </c>
    </row>
    <row r="18" spans="1:6" x14ac:dyDescent="0.4">
      <c r="A18" s="20">
        <v>44440</v>
      </c>
      <c r="B18">
        <v>31</v>
      </c>
      <c r="C18">
        <v>301483</v>
      </c>
      <c r="D18" t="str">
        <v>A</v>
      </c>
      <c r="E18">
        <v>5252</v>
      </c>
      <c r="F18">
        <f t="shared" si="0"/>
        <v>358439</v>
      </c>
    </row>
    <row r="19" spans="1:6" x14ac:dyDescent="0.4">
      <c r="A19" s="20">
        <v>44470</v>
      </c>
      <c r="B19">
        <v>30</v>
      </c>
      <c r="C19">
        <v>307421</v>
      </c>
      <c r="D19" t="str">
        <v>A</v>
      </c>
      <c r="E19">
        <v>5938</v>
      </c>
      <c r="F19">
        <f t="shared" si="0"/>
        <v>364377</v>
      </c>
    </row>
    <row r="20" spans="1:6" x14ac:dyDescent="0.4">
      <c r="A20" s="20">
        <v>44502</v>
      </c>
      <c r="B20">
        <v>32</v>
      </c>
      <c r="C20">
        <v>319237</v>
      </c>
      <c r="D20" t="str">
        <v>A</v>
      </c>
      <c r="E20">
        <v>11816</v>
      </c>
      <c r="F20">
        <f t="shared" si="0"/>
        <v>376193</v>
      </c>
    </row>
    <row r="21" spans="1:6" x14ac:dyDescent="0.4">
      <c r="A21" s="20">
        <v>44533</v>
      </c>
      <c r="B21">
        <v>31</v>
      </c>
      <c r="C21">
        <v>348738</v>
      </c>
      <c r="D21" t="str">
        <v>A</v>
      </c>
      <c r="E21">
        <v>29501</v>
      </c>
      <c r="F21">
        <f t="shared" si="0"/>
        <v>405694</v>
      </c>
    </row>
    <row r="22" spans="1:6" x14ac:dyDescent="0.4">
      <c r="A22" s="20">
        <v>44566</v>
      </c>
      <c r="B22">
        <v>33</v>
      </c>
      <c r="C22">
        <v>385652</v>
      </c>
      <c r="D22" t="str">
        <v>A</v>
      </c>
      <c r="E22">
        <v>36914</v>
      </c>
      <c r="F22">
        <f t="shared" si="0"/>
        <v>442608</v>
      </c>
    </row>
    <row r="23" spans="1:6" x14ac:dyDescent="0.4">
      <c r="A23" s="20">
        <v>44593</v>
      </c>
      <c r="B23">
        <v>27</v>
      </c>
      <c r="C23">
        <v>421561</v>
      </c>
      <c r="D23" t="str">
        <v>A</v>
      </c>
      <c r="E23">
        <v>35909</v>
      </c>
      <c r="F23">
        <f t="shared" si="0"/>
        <v>478517</v>
      </c>
    </row>
    <row r="24" spans="1:6" x14ac:dyDescent="0.4">
      <c r="A24" s="20">
        <v>44621</v>
      </c>
      <c r="B24">
        <v>28</v>
      </c>
      <c r="C24">
        <v>457115</v>
      </c>
      <c r="D24" t="str">
        <v>A</v>
      </c>
      <c r="E24">
        <v>35554</v>
      </c>
      <c r="F24">
        <f t="shared" si="0"/>
        <v>514071</v>
      </c>
    </row>
    <row r="25" spans="1:6" x14ac:dyDescent="0.4">
      <c r="A25" s="20">
        <v>44655</v>
      </c>
      <c r="B25">
        <v>34</v>
      </c>
      <c r="C25">
        <v>496185</v>
      </c>
      <c r="D25" t="str">
        <v>A</v>
      </c>
      <c r="E25">
        <v>39070</v>
      </c>
      <c r="F25">
        <f t="shared" si="0"/>
        <v>553141</v>
      </c>
    </row>
    <row r="26" spans="1:6" x14ac:dyDescent="0.4">
      <c r="A26" s="20">
        <v>44683</v>
      </c>
      <c r="B26">
        <v>28</v>
      </c>
      <c r="C26">
        <v>523006</v>
      </c>
      <c r="D26" t="str">
        <v>A</v>
      </c>
      <c r="E26">
        <v>26821</v>
      </c>
      <c r="F26">
        <f t="shared" si="0"/>
        <v>579962</v>
      </c>
    </row>
    <row r="27" spans="1:6" x14ac:dyDescent="0.4">
      <c r="A27" s="20">
        <v>44718</v>
      </c>
      <c r="B27">
        <v>35</v>
      </c>
      <c r="C27">
        <v>537258</v>
      </c>
      <c r="D27" t="str">
        <v>A</v>
      </c>
      <c r="E27">
        <v>14252</v>
      </c>
      <c r="F27">
        <f t="shared" si="0"/>
        <v>594214</v>
      </c>
    </row>
    <row r="28" spans="1:6" x14ac:dyDescent="0.4">
      <c r="A28" s="20">
        <v>44750</v>
      </c>
      <c r="B28">
        <v>32</v>
      </c>
      <c r="C28">
        <v>543977</v>
      </c>
      <c r="D28" t="str">
        <v>A</v>
      </c>
      <c r="E28">
        <v>6719</v>
      </c>
      <c r="F28">
        <f t="shared" si="0"/>
        <v>600933</v>
      </c>
    </row>
    <row r="29" spans="1:6" x14ac:dyDescent="0.4">
      <c r="A29" s="20">
        <v>44775</v>
      </c>
      <c r="B29">
        <v>25</v>
      </c>
      <c r="C29">
        <v>548606</v>
      </c>
      <c r="D29" t="str">
        <v>A</v>
      </c>
      <c r="E29">
        <v>4629</v>
      </c>
      <c r="F29">
        <f t="shared" si="0"/>
        <v>605562</v>
      </c>
    </row>
    <row r="30" spans="1:6" x14ac:dyDescent="0.4">
      <c r="A30" s="20">
        <v>44806</v>
      </c>
      <c r="B30">
        <v>31</v>
      </c>
      <c r="C30">
        <v>553872</v>
      </c>
      <c r="D30" t="str">
        <v>A</v>
      </c>
      <c r="E30">
        <v>5266</v>
      </c>
      <c r="F30">
        <f t="shared" si="0"/>
        <v>610828</v>
      </c>
    </row>
    <row r="31" spans="1:6" x14ac:dyDescent="0.4">
      <c r="A31" s="20">
        <v>44835</v>
      </c>
      <c r="B31">
        <v>29</v>
      </c>
      <c r="C31">
        <v>558923</v>
      </c>
      <c r="D31" t="str">
        <v>A</v>
      </c>
      <c r="E31">
        <v>5051</v>
      </c>
      <c r="F31">
        <f t="shared" si="0"/>
        <v>615879</v>
      </c>
    </row>
    <row r="32" spans="1:6" x14ac:dyDescent="0.4">
      <c r="A32" s="20">
        <v>44868</v>
      </c>
      <c r="B32">
        <v>33</v>
      </c>
      <c r="C32">
        <v>580475</v>
      </c>
      <c r="D32" t="str">
        <v>A</v>
      </c>
      <c r="E32">
        <v>21552</v>
      </c>
      <c r="F32">
        <f t="shared" si="0"/>
        <v>637431</v>
      </c>
    </row>
    <row r="33" spans="1:6" x14ac:dyDescent="0.4">
      <c r="A33" s="20">
        <v>44897</v>
      </c>
      <c r="B33">
        <v>29</v>
      </c>
      <c r="C33">
        <v>608081</v>
      </c>
      <c r="D33" t="str">
        <v>A</v>
      </c>
      <c r="E33">
        <v>27606</v>
      </c>
      <c r="F33">
        <f t="shared" si="0"/>
        <v>665037</v>
      </c>
    </row>
    <row r="34" spans="1:6" x14ac:dyDescent="0.4">
      <c r="A34" s="20">
        <v>44929</v>
      </c>
      <c r="B34">
        <v>32</v>
      </c>
      <c r="C34">
        <v>648771</v>
      </c>
      <c r="D34" t="str">
        <v>A</v>
      </c>
      <c r="E34">
        <v>40690</v>
      </c>
      <c r="F34">
        <f t="shared" si="0"/>
        <v>705727</v>
      </c>
    </row>
    <row r="35" spans="1:6" x14ac:dyDescent="0.4">
      <c r="A35" s="20">
        <v>44958</v>
      </c>
      <c r="B35">
        <v>29</v>
      </c>
      <c r="C35">
        <v>684549</v>
      </c>
      <c r="D35" t="str">
        <v>A</v>
      </c>
      <c r="E35">
        <v>35778</v>
      </c>
      <c r="F35">
        <f t="shared" si="0"/>
        <v>741505</v>
      </c>
    </row>
    <row r="36" spans="1:6" x14ac:dyDescent="0.4">
      <c r="A36" s="20">
        <v>44987</v>
      </c>
      <c r="B36">
        <v>29</v>
      </c>
      <c r="C36">
        <v>722698</v>
      </c>
      <c r="D36" t="str">
        <v>A</v>
      </c>
      <c r="E36">
        <v>38149</v>
      </c>
      <c r="F36">
        <f t="shared" si="0"/>
        <v>779654</v>
      </c>
    </row>
    <row r="37" spans="1:6" x14ac:dyDescent="0.4">
      <c r="A37" s="20">
        <v>45019</v>
      </c>
      <c r="B37">
        <v>32</v>
      </c>
      <c r="C37">
        <v>762827</v>
      </c>
      <c r="D37" t="str">
        <v>A</v>
      </c>
      <c r="E37">
        <v>40129</v>
      </c>
      <c r="F37">
        <f t="shared" si="0"/>
        <v>819783</v>
      </c>
    </row>
    <row r="38" spans="1:6" x14ac:dyDescent="0.4">
      <c r="A38" s="20">
        <v>45047</v>
      </c>
      <c r="B38">
        <v>28</v>
      </c>
      <c r="C38">
        <v>787093</v>
      </c>
      <c r="D38" t="str">
        <v>A</v>
      </c>
      <c r="E38">
        <v>24266</v>
      </c>
      <c r="F38">
        <f t="shared" si="0"/>
        <v>844049</v>
      </c>
    </row>
    <row r="39" spans="1:6" x14ac:dyDescent="0.4">
      <c r="A39" s="20">
        <v>45079</v>
      </c>
      <c r="B39">
        <v>32</v>
      </c>
      <c r="C39">
        <v>804350</v>
      </c>
      <c r="D39" t="str">
        <v>A</v>
      </c>
      <c r="E39">
        <v>17257</v>
      </c>
      <c r="F39">
        <f t="shared" si="0"/>
        <v>861306</v>
      </c>
    </row>
    <row r="40" spans="1:6" x14ac:dyDescent="0.4">
      <c r="A40" s="20">
        <v>45112</v>
      </c>
      <c r="B40">
        <v>33</v>
      </c>
      <c r="C40">
        <v>811194</v>
      </c>
      <c r="D40" t="str">
        <v>A</v>
      </c>
      <c r="E40">
        <v>6844</v>
      </c>
      <c r="F40">
        <f t="shared" si="0"/>
        <v>868150</v>
      </c>
    </row>
    <row r="41" spans="1:6" x14ac:dyDescent="0.4">
      <c r="A41" s="20">
        <v>45139</v>
      </c>
      <c r="B41">
        <v>27</v>
      </c>
      <c r="C41">
        <v>815919</v>
      </c>
      <c r="D41" t="str">
        <v>A</v>
      </c>
      <c r="E41">
        <v>4725</v>
      </c>
      <c r="F41">
        <f t="shared" si="0"/>
        <v>872875</v>
      </c>
    </row>
    <row r="42" spans="1:6" x14ac:dyDescent="0.4">
      <c r="A42" s="20">
        <v>45170</v>
      </c>
      <c r="B42">
        <v>31</v>
      </c>
      <c r="C42">
        <v>821338</v>
      </c>
      <c r="D42" t="str">
        <v>A</v>
      </c>
      <c r="E42">
        <v>5419</v>
      </c>
      <c r="F42">
        <f t="shared" si="0"/>
        <v>878294</v>
      </c>
    </row>
    <row r="43" spans="1:6" x14ac:dyDescent="0.4">
      <c r="A43" s="20">
        <v>45201</v>
      </c>
      <c r="B43">
        <v>31</v>
      </c>
      <c r="C43">
        <v>829788</v>
      </c>
      <c r="D43" t="str">
        <v>A</v>
      </c>
      <c r="E43">
        <v>8450</v>
      </c>
      <c r="F43">
        <f t="shared" si="0"/>
        <v>886744</v>
      </c>
    </row>
    <row r="44" spans="1:6" x14ac:dyDescent="0.4">
      <c r="A44" s="20">
        <v>45233</v>
      </c>
      <c r="B44">
        <v>32</v>
      </c>
      <c r="C44">
        <v>850212</v>
      </c>
      <c r="D44" t="str">
        <v>A</v>
      </c>
      <c r="E44">
        <v>20424</v>
      </c>
      <c r="F44">
        <f t="shared" si="0"/>
        <v>907168</v>
      </c>
    </row>
    <row r="45" spans="1:6" x14ac:dyDescent="0.4">
      <c r="A45" s="20">
        <v>45267</v>
      </c>
      <c r="B45">
        <v>34</v>
      </c>
      <c r="C45">
        <v>887982</v>
      </c>
      <c r="D45" t="str">
        <v>A</v>
      </c>
      <c r="E45">
        <v>37770</v>
      </c>
      <c r="F45">
        <f t="shared" si="0"/>
        <v>944938</v>
      </c>
    </row>
    <row r="46" spans="1:6" x14ac:dyDescent="0.4">
      <c r="A46" s="20">
        <v>45295</v>
      </c>
      <c r="B46">
        <v>28</v>
      </c>
      <c r="C46">
        <v>917862</v>
      </c>
      <c r="D46" t="str">
        <v>A</v>
      </c>
      <c r="E46">
        <v>29880</v>
      </c>
      <c r="F46">
        <f t="shared" si="0"/>
        <v>974818</v>
      </c>
    </row>
    <row r="47" spans="1:6" x14ac:dyDescent="0.4">
      <c r="A47" s="20">
        <v>45327</v>
      </c>
      <c r="B47">
        <v>32</v>
      </c>
      <c r="C47">
        <v>954085</v>
      </c>
      <c r="D47" t="str">
        <v>A</v>
      </c>
      <c r="E47">
        <v>36223</v>
      </c>
      <c r="F47">
        <f t="shared" si="0"/>
        <v>1011041</v>
      </c>
    </row>
    <row r="48" spans="1:6" x14ac:dyDescent="0.4">
      <c r="A48" s="20">
        <v>45355</v>
      </c>
      <c r="B48">
        <v>28</v>
      </c>
      <c r="C48">
        <v>994008</v>
      </c>
      <c r="D48" t="str">
        <v>A</v>
      </c>
      <c r="E48">
        <v>39923</v>
      </c>
      <c r="F48">
        <f t="shared" si="0"/>
        <v>1050964</v>
      </c>
    </row>
    <row r="49" spans="1:6" x14ac:dyDescent="0.4">
      <c r="A49" s="20">
        <v>45387</v>
      </c>
      <c r="B49">
        <v>32</v>
      </c>
      <c r="C49">
        <v>1031509</v>
      </c>
      <c r="D49" t="str">
        <v>A</v>
      </c>
      <c r="E49">
        <v>37501</v>
      </c>
      <c r="F49">
        <f t="shared" si="0"/>
        <v>1088465</v>
      </c>
    </row>
    <row r="50" spans="1:6" x14ac:dyDescent="0.4">
      <c r="A50" s="20">
        <v>45415</v>
      </c>
      <c r="B50">
        <v>28</v>
      </c>
      <c r="C50">
        <v>1061234</v>
      </c>
      <c r="D50" t="str">
        <v>A</v>
      </c>
      <c r="E50">
        <v>29725</v>
      </c>
      <c r="F50">
        <f t="shared" si="0"/>
        <v>1118190</v>
      </c>
    </row>
    <row r="51" spans="1:6" x14ac:dyDescent="0.4">
      <c r="A51" s="20">
        <v>45448</v>
      </c>
      <c r="B51">
        <v>33</v>
      </c>
      <c r="C51">
        <v>1074469</v>
      </c>
      <c r="D51" t="str">
        <v>A</v>
      </c>
      <c r="E51">
        <v>13235</v>
      </c>
      <c r="F51">
        <f t="shared" si="0"/>
        <v>1131425</v>
      </c>
    </row>
    <row r="52" spans="1:6" x14ac:dyDescent="0.4">
      <c r="A52" s="20">
        <v>45479</v>
      </c>
      <c r="B52">
        <v>31</v>
      </c>
      <c r="C52">
        <v>1080497</v>
      </c>
      <c r="D52" t="str">
        <v>A</v>
      </c>
      <c r="E52">
        <v>6028</v>
      </c>
      <c r="F52">
        <f t="shared" si="0"/>
        <v>1137453</v>
      </c>
    </row>
    <row r="53" spans="1:6" x14ac:dyDescent="0.4">
      <c r="A53" s="20">
        <v>45507</v>
      </c>
      <c r="B53">
        <v>28</v>
      </c>
      <c r="C53">
        <v>1085211</v>
      </c>
      <c r="D53" t="str">
        <v>A</v>
      </c>
      <c r="E53">
        <v>4714</v>
      </c>
      <c r="F53">
        <f t="shared" si="0"/>
        <v>1142167</v>
      </c>
    </row>
    <row r="54" spans="1:6" x14ac:dyDescent="0.4">
      <c r="A54" s="20">
        <v>45538</v>
      </c>
      <c r="B54">
        <v>31</v>
      </c>
      <c r="C54">
        <v>1089987</v>
      </c>
      <c r="D54" t="str">
        <v>A</v>
      </c>
      <c r="E54">
        <v>4776</v>
      </c>
      <c r="F54">
        <f t="shared" si="0"/>
        <v>1146943</v>
      </c>
    </row>
    <row r="55" spans="1:6" x14ac:dyDescent="0.4">
      <c r="A55" s="20">
        <v>45569</v>
      </c>
      <c r="B55">
        <v>31</v>
      </c>
      <c r="C55">
        <v>1095783</v>
      </c>
      <c r="D55" t="str">
        <v>A</v>
      </c>
      <c r="E55">
        <v>5796</v>
      </c>
      <c r="F55">
        <f t="shared" si="0"/>
        <v>1152739</v>
      </c>
    </row>
    <row r="56" spans="1:6" x14ac:dyDescent="0.4">
      <c r="A56" s="20">
        <v>45603</v>
      </c>
      <c r="B56">
        <v>34</v>
      </c>
      <c r="C56">
        <v>1114346</v>
      </c>
      <c r="D56" t="str">
        <v>A</v>
      </c>
      <c r="E56">
        <v>18563</v>
      </c>
      <c r="F56">
        <f t="shared" si="0"/>
        <v>1171302</v>
      </c>
    </row>
    <row r="57" spans="1:6" x14ac:dyDescent="0.4">
      <c r="A57" s="20">
        <v>45631</v>
      </c>
      <c r="B57">
        <v>28</v>
      </c>
      <c r="C57">
        <v>1140623</v>
      </c>
      <c r="D57" t="str">
        <v>A</v>
      </c>
      <c r="E57">
        <v>26277</v>
      </c>
      <c r="F57">
        <f t="shared" si="0"/>
        <v>1197579</v>
      </c>
    </row>
    <row r="58" spans="1:6" x14ac:dyDescent="0.4">
      <c r="A58" s="20">
        <v>45661</v>
      </c>
      <c r="B58">
        <v>30</v>
      </c>
      <c r="C58">
        <v>1176141</v>
      </c>
      <c r="D58" t="str">
        <v>A</v>
      </c>
      <c r="E58">
        <v>35518</v>
      </c>
      <c r="F58">
        <f t="shared" si="0"/>
        <v>1233097</v>
      </c>
    </row>
    <row r="59" spans="1:6" x14ac:dyDescent="0.4">
      <c r="A59" s="20">
        <v>45694</v>
      </c>
      <c r="B59">
        <v>33</v>
      </c>
      <c r="C59">
        <v>1218998</v>
      </c>
      <c r="D59" t="str">
        <v>A</v>
      </c>
      <c r="E59">
        <v>42857</v>
      </c>
      <c r="F59">
        <f t="shared" si="0"/>
        <v>1275954</v>
      </c>
    </row>
    <row r="60" spans="1:6" x14ac:dyDescent="0.4">
      <c r="A60" s="20">
        <v>45720</v>
      </c>
      <c r="B60">
        <v>26</v>
      </c>
      <c r="C60">
        <v>1258167</v>
      </c>
      <c r="D60" t="str">
        <v>A</v>
      </c>
      <c r="E60">
        <v>39169</v>
      </c>
      <c r="F60">
        <f t="shared" si="0"/>
        <v>1315123</v>
      </c>
    </row>
    <row r="61" spans="1:6" x14ac:dyDescent="0.4">
      <c r="A61" s="20">
        <v>45751</v>
      </c>
      <c r="B61">
        <v>31</v>
      </c>
      <c r="C61">
        <v>1300871</v>
      </c>
      <c r="D61" t="str">
        <v>A</v>
      </c>
      <c r="E61">
        <v>42704</v>
      </c>
      <c r="F61">
        <f t="shared" si="0"/>
        <v>1357827</v>
      </c>
    </row>
    <row r="62" spans="1:6" x14ac:dyDescent="0.4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1357827</v>
      </c>
    </row>
    <row r="63" spans="1:6" x14ac:dyDescent="0.4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1357827</v>
      </c>
    </row>
    <row r="64" spans="1:6" x14ac:dyDescent="0.4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1357827</v>
      </c>
    </row>
    <row r="65" spans="1:6" x14ac:dyDescent="0.4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1357827</v>
      </c>
    </row>
    <row r="66" spans="1:6" x14ac:dyDescent="0.4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1357827</v>
      </c>
    </row>
    <row r="67" spans="1:6" x14ac:dyDescent="0.4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1357827</v>
      </c>
    </row>
    <row r="68" spans="1:6" x14ac:dyDescent="0.4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1357827</v>
      </c>
    </row>
    <row r="69" spans="1:6" x14ac:dyDescent="0.4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1357827</v>
      </c>
    </row>
    <row r="70" spans="1:6" x14ac:dyDescent="0.4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1357827</v>
      </c>
    </row>
    <row r="71" spans="1:6" x14ac:dyDescent="0.4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1357827</v>
      </c>
    </row>
    <row r="72" spans="1:6" x14ac:dyDescent="0.4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1357827</v>
      </c>
    </row>
    <row r="73" spans="1:6" x14ac:dyDescent="0.4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1357827</v>
      </c>
    </row>
    <row r="74" spans="1:6" x14ac:dyDescent="0.4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1357827</v>
      </c>
    </row>
    <row r="75" spans="1:6" x14ac:dyDescent="0.4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1357827</v>
      </c>
    </row>
    <row r="76" spans="1:6" x14ac:dyDescent="0.4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1357827</v>
      </c>
    </row>
    <row r="77" spans="1:6" x14ac:dyDescent="0.4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1357827</v>
      </c>
    </row>
    <row r="78" spans="1:6" x14ac:dyDescent="0.4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1357827</v>
      </c>
    </row>
    <row r="79" spans="1:6" x14ac:dyDescent="0.4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1357827</v>
      </c>
    </row>
    <row r="80" spans="1:6" x14ac:dyDescent="0.4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1357827</v>
      </c>
    </row>
    <row r="81" spans="1:6" x14ac:dyDescent="0.4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1357827</v>
      </c>
    </row>
    <row r="82" spans="1:6" x14ac:dyDescent="0.4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1357827</v>
      </c>
    </row>
    <row r="83" spans="1:6" x14ac:dyDescent="0.4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1357827</v>
      </c>
    </row>
    <row r="84" spans="1:6" x14ac:dyDescent="0.4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1357827</v>
      </c>
    </row>
    <row r="85" spans="1:6" x14ac:dyDescent="0.4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1357827</v>
      </c>
    </row>
    <row r="86" spans="1:6" x14ac:dyDescent="0.4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1357827</v>
      </c>
    </row>
    <row r="87" spans="1:6" x14ac:dyDescent="0.4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1357827</v>
      </c>
    </row>
    <row r="88" spans="1:6" x14ac:dyDescent="0.4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1357827</v>
      </c>
    </row>
    <row r="89" spans="1:6" x14ac:dyDescent="0.4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1357827</v>
      </c>
    </row>
    <row r="90" spans="1:6" x14ac:dyDescent="0.4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1357827</v>
      </c>
    </row>
    <row r="91" spans="1:6" x14ac:dyDescent="0.4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1357827</v>
      </c>
    </row>
    <row r="92" spans="1:6" x14ac:dyDescent="0.4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1357827</v>
      </c>
    </row>
    <row r="93" spans="1:6" x14ac:dyDescent="0.4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1357827</v>
      </c>
    </row>
    <row r="94" spans="1:6" x14ac:dyDescent="0.4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1357827</v>
      </c>
    </row>
    <row r="95" spans="1:6" x14ac:dyDescent="0.4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1357827</v>
      </c>
    </row>
    <row r="96" spans="1:6" x14ac:dyDescent="0.4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1357827</v>
      </c>
    </row>
    <row r="97" spans="1:6" x14ac:dyDescent="0.4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1357827</v>
      </c>
    </row>
    <row r="98" spans="1:6" x14ac:dyDescent="0.4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1357827</v>
      </c>
    </row>
    <row r="99" spans="1:6" x14ac:dyDescent="0.4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1357827</v>
      </c>
    </row>
    <row r="100" spans="1:6" x14ac:dyDescent="0.4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1357827</v>
      </c>
    </row>
    <row r="101" spans="1:6" x14ac:dyDescent="0.4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1357827</v>
      </c>
    </row>
    <row r="102" spans="1:6" x14ac:dyDescent="0.4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1357827</v>
      </c>
    </row>
    <row r="103" spans="1:6" x14ac:dyDescent="0.4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1357827</v>
      </c>
    </row>
    <row r="104" spans="1:6" x14ac:dyDescent="0.4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1357827</v>
      </c>
    </row>
    <row r="105" spans="1:6" x14ac:dyDescent="0.4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1357827</v>
      </c>
    </row>
    <row r="106" spans="1:6" x14ac:dyDescent="0.4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1357827</v>
      </c>
    </row>
    <row r="107" spans="1:6" x14ac:dyDescent="0.4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1357827</v>
      </c>
    </row>
    <row r="108" spans="1:6" x14ac:dyDescent="0.4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1357827</v>
      </c>
    </row>
    <row r="109" spans="1:6" x14ac:dyDescent="0.4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1357827</v>
      </c>
    </row>
    <row r="110" spans="1:6" x14ac:dyDescent="0.4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1357827</v>
      </c>
    </row>
    <row r="111" spans="1:6" x14ac:dyDescent="0.4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1357827</v>
      </c>
    </row>
    <row r="112" spans="1:6" x14ac:dyDescent="0.4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1357827</v>
      </c>
    </row>
    <row r="113" spans="1:6" x14ac:dyDescent="0.4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1357827</v>
      </c>
    </row>
    <row r="114" spans="1:6" x14ac:dyDescent="0.4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1357827</v>
      </c>
    </row>
    <row r="115" spans="1:6" x14ac:dyDescent="0.4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1357827</v>
      </c>
    </row>
    <row r="116" spans="1:6" x14ac:dyDescent="0.4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1357827</v>
      </c>
    </row>
    <row r="117" spans="1:6" x14ac:dyDescent="0.4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1357827</v>
      </c>
    </row>
    <row r="118" spans="1:6" x14ac:dyDescent="0.4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1357827</v>
      </c>
    </row>
    <row r="119" spans="1:6" x14ac:dyDescent="0.4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1357827</v>
      </c>
    </row>
    <row r="120" spans="1:6" x14ac:dyDescent="0.4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1357827</v>
      </c>
    </row>
    <row r="121" spans="1:6" x14ac:dyDescent="0.4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1357827</v>
      </c>
    </row>
    <row r="122" spans="1:6" x14ac:dyDescent="0.4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1357827</v>
      </c>
    </row>
    <row r="123" spans="1:6" x14ac:dyDescent="0.4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1357827</v>
      </c>
    </row>
    <row r="124" spans="1:6" x14ac:dyDescent="0.4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1357827</v>
      </c>
    </row>
    <row r="125" spans="1:6" x14ac:dyDescent="0.4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1357827</v>
      </c>
    </row>
    <row r="126" spans="1:6" x14ac:dyDescent="0.4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1357827</v>
      </c>
    </row>
    <row r="127" spans="1:6" x14ac:dyDescent="0.4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1357827</v>
      </c>
    </row>
    <row r="128" spans="1:6" x14ac:dyDescent="0.4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1357827</v>
      </c>
    </row>
    <row r="129" spans="1:6" x14ac:dyDescent="0.4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1357827</v>
      </c>
    </row>
    <row r="130" spans="1:6" x14ac:dyDescent="0.4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1357827</v>
      </c>
    </row>
    <row r="131" spans="1:6" x14ac:dyDescent="0.4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1357827</v>
      </c>
    </row>
    <row r="132" spans="1:6" x14ac:dyDescent="0.4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1357827</v>
      </c>
    </row>
    <row r="133" spans="1:6" x14ac:dyDescent="0.4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1357827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A2" sqref="A2"/>
    </sheetView>
  </sheetViews>
  <sheetFormatPr defaultColWidth="8.83203125" defaultRowHeight="16" x14ac:dyDescent="0.4"/>
  <cols>
    <col min="1" max="1" width="6.58203125" bestFit="1" customWidth="1"/>
    <col min="2" max="2" width="8.58203125" bestFit="1" customWidth="1"/>
    <col min="3" max="3" width="6.08203125" bestFit="1" customWidth="1"/>
    <col min="4" max="4" width="24.83203125" bestFit="1" customWidth="1"/>
    <col min="5" max="5" width="21.58203125" bestFit="1" customWidth="1"/>
    <col min="6" max="7" width="24.33203125" bestFit="1" customWidth="1"/>
  </cols>
  <sheetData>
    <row r="1" spans="1:16" x14ac:dyDescent="0.4">
      <c r="A1" t="s">
        <v>110</v>
      </c>
      <c r="B1" t="s">
        <v>111</v>
      </c>
      <c r="C1" t="s">
        <v>112</v>
      </c>
      <c r="D1" t="s">
        <v>113</v>
      </c>
      <c r="E1" t="s">
        <v>114</v>
      </c>
      <c r="F1" t="s">
        <v>115</v>
      </c>
      <c r="G1" t="s">
        <v>116</v>
      </c>
      <c r="H1" t="s">
        <v>117</v>
      </c>
      <c r="I1" t="s">
        <v>118</v>
      </c>
      <c r="J1" t="s">
        <v>119</v>
      </c>
      <c r="K1" t="s">
        <v>120</v>
      </c>
      <c r="L1" t="s">
        <v>121</v>
      </c>
      <c r="M1" t="s">
        <v>122</v>
      </c>
      <c r="N1" t="s">
        <v>123</v>
      </c>
      <c r="O1" t="s">
        <v>124</v>
      </c>
      <c r="P1" t="s">
        <v>125</v>
      </c>
    </row>
    <row r="2" spans="1:16" x14ac:dyDescent="0.4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4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4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4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4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4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4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4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4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4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4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4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4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4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4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4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4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4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4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4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4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4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4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4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4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4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4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4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4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4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4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4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4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4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4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4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4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4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4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4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4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4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4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4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4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4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4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4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4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4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4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4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4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4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4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4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4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4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4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4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4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4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4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4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4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4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4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4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4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4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4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4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4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4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4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4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4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4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4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4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4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4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4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4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4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4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4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4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4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4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4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4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4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4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4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4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4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4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4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4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4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4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4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4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4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4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4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4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4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4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4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4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4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4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4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4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4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4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4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4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4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4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4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4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4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4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4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4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4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4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4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4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4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4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4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4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4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4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4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4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4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4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4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4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4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4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4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4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4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4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4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4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4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4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4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4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4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4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4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4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4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4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4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4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4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4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4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4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4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4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4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4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4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4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4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4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4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4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4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4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4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4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4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4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4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4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4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4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4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4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4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4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4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4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4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4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4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4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4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4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4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4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4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4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4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4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4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4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4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4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4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4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4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4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4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4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4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4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4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4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4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4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4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4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4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4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4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4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4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4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4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4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4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4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4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4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4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4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4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4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4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4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4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4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4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4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4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4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4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4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4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4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4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4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4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4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4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4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4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4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4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4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4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4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4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4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4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4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4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4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4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4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4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4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4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4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4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4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4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4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4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4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4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4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4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4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4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4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4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4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4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4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4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4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4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4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4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4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4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4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4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4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4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4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4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4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4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4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4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4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4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4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4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4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4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4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4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4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4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4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4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4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4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4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4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4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4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4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4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4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4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4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4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4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4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4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4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4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4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4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4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4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4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4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4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4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4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4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4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4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4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4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4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4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4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4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4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4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4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4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4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4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4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4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4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4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4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4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4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4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4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4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4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4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4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4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4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4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4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4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4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4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4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4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4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4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4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4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4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4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4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4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4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4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4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4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4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4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4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4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4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4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4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4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4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4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4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4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4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4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4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4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4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4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4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4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4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4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4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4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4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4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4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4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4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4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4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4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4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4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4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4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4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4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4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4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4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4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4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4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4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4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4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4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4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4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4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4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4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4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4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4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4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4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4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4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4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4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4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4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4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4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4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4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4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4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4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4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4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4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4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4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4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4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4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4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4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4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4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4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4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4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4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4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4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4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4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4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4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4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4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4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4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4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4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4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4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4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4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4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4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4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4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4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4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4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4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4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4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4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4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4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4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4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4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4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4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4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4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4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4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4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4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4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4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4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4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4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4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4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4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4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4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4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4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4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4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4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4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4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4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4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4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4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4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4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4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4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4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4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4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4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4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4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4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4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4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4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4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4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4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4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4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4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4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4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4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4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4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4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4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4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4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4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4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4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4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4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4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4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4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4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4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4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4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4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4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4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4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4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4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4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4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4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4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4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4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4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4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4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4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4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4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4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4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4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4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4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4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4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4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4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4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4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4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4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4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4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4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4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4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4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4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4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4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4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4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4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4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4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4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4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4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4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4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4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4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4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4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4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4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4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4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4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4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4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4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4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4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4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4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4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4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4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4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4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4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4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4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4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4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4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4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4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4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4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4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4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4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4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4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4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4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4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4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4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4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4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4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4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4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4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4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4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4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4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4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4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4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4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4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4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4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4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4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4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4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4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4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4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4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4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4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4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4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4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4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4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4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4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4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4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4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4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4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4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4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4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4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4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4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4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4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4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4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4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4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4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4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4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4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4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4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4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4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4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4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4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4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4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4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4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4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4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4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4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4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4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4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4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4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4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4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4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4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4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4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4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4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4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4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4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4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4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4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4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4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4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4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4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4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4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4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4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4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4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4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4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4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4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4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4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4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4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4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4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4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4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4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4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4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4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4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4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4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4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4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4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4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4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4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4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4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4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4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4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4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4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4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4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4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4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4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4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4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4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4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4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4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4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4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4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4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4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4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4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4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4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4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4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4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4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4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4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4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4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4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4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4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4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4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4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4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4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4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4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4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4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4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4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4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4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4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4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4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4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4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4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4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4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4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4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4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4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4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4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4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4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4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4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4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4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4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4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4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4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4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4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4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4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4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4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4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4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4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4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4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4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4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4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4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4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4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4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4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4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4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4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4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4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4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4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4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4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4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4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4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4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4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4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4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4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4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4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4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4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4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4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4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4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4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4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4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4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4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4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4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4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4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4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4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4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4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4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4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4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4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4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4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4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4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4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4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4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4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4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4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4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4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4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4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4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4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4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4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4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4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4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4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4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4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4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4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4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4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4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4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4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4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4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4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4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4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4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4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4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4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4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4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4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4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4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4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4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4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4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4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4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4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4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4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4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4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4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4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4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4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4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4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4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4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4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4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4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4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4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4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4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4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4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4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4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4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4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4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4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4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4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4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4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4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4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4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4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4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4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4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4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4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4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4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4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4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4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4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4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4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4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4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4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4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4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4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4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4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4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4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4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4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4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4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4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4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4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4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4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4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4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4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4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4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4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4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4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4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4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4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4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4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4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4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4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4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4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4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4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4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4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4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4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4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4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4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4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4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4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4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4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4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4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4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4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4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4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4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4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4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4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4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4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4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4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4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4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4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4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4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4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4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4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4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4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4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4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4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4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4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4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4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4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4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4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4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4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4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4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4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4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4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4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4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4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4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4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4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4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4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4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4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4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4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4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4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4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4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4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4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4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4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4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4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4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4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4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4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4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4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4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4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4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4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4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4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4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4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4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4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4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4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4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4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4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4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4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4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4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4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4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4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4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4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4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4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4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4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4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4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4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4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4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4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4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4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4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4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4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4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4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4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4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4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4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4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4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4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4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4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4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4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4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4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4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4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4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4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4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4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4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4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4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4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4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4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4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4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4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4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4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4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4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4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4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4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4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4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4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4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4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4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4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4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4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4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4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4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4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4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4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4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4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4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4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4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4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4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4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4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4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4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4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4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4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4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4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4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4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4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4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4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4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4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4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4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4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4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4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4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4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4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4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4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4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4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4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4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4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4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4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4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4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4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4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4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4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4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4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4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4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4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4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4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4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4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4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4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4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4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4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4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4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4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4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4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4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4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4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4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4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4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4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4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4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4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4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4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4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4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4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4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4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4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4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4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4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4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4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4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4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4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4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4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4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4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4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4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4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4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4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4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4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4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4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4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4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4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4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4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4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4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4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4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4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4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4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4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4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4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4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4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4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4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4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4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4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4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4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4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4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4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4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4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4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4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4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4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4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4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4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4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4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4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4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4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4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4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4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4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4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4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4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4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4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4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4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4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4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4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4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4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4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4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4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4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4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4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4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4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4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4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4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4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4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4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4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4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4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4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4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4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4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4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4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4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4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4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4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4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4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4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4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4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4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4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4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4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4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4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4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4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4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4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4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4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4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4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4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4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4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4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4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4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4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4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4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4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4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4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4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4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4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4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4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4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4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4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4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4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4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4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4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4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4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4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4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4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4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4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4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4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4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4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4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4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4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4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4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4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4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4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4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4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4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4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4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4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4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4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4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4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4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4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4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4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4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4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4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4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4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4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4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4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4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4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4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4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4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4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4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4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4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4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4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4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4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4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4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4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4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4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4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4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4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4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4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4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4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4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4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4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4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4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4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4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4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4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4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4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4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4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4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4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4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4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4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4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4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4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4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4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4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4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4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4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4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4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4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4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4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4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4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4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4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4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4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4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4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4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4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4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4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4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4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4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4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4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4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4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4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4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4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4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4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4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4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4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4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4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4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4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4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4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4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4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4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4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4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4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4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4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4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4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4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4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4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4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4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4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4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4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4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4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4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4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4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4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4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4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4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4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4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4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4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4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4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4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4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4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4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4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4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4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4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4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4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4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4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4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4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4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4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4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4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4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4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4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4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4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4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4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4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4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4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4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4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4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4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4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4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4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4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4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4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4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4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4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4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4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4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4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4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4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4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4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4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4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4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4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4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4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4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4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4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4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4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4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4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4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4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4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4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4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4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4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4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4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4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4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4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4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4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4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4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4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4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4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4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4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4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4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4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4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4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4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4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4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4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4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4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4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4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4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4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4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4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4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4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4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4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4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4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4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4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4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4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4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4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4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4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4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4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4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4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4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4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4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4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4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4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4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4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4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4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4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4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4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4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4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4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4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4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4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4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4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4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4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4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4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4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4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4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4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4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4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4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4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4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4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4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4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4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4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4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4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4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4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4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4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4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4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4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4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4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4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4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4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4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4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4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4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4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4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4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4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4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4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4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4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4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4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4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4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4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4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4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4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4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4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4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4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4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4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4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4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4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4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4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4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4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4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4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4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4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4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4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4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4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4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4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4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4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4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4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4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4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4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4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4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4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4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4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4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4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4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4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4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4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4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4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4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4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4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4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4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4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4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4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4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4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4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4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4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4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4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4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4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4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4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4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4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4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4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4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4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4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4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4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4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4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4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4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4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4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4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4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4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4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4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4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4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4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4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4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4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4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4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4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4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4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4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4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4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4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4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4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4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4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4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4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4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4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4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4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4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4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4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4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4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4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4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4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4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4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4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4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4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4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4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4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4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4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4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4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4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4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4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4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4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4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4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4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4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4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4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4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4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4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4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4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4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4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4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4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4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4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4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4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4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4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4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4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4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4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4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4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4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4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4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4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4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4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4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4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4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4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4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4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4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4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4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4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4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4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4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4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4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4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4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4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4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4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4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4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4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4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4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4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4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4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4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4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4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4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4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4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4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4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4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4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4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4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4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4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4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4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4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4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4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4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4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4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4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4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4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4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4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4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4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4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4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4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4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4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4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4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4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4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4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4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4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4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4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4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4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4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4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4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4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4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4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4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4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4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4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4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4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4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4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4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4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4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4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4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4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4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4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4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4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4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4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4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4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4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4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4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4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4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4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4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4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4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4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4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4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4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4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4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4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4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4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4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4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4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4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4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4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4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4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4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4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4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4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4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4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4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4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4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4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4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4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4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4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4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4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4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4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4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4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4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4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4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4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4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4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4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4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4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4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4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4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4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4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4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4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4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4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4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4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4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4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4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4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4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4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4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4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4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4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4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4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4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4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4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4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4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4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4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4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4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4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4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4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4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4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4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4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4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4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4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4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4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4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4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4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4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4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4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4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4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4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4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4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4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4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4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4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4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4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4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4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4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4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4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4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4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4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4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4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4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4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4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4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4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4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4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4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4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4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4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4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4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4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4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4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4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4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4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4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4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4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4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4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4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4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4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4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4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4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4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4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4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4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4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4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4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4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4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4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4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4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4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4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4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4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4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4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4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4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4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4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4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4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4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4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4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4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4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4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4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4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4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4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4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4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4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4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4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4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4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4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4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4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4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4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4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4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4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4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4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4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4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4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4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4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4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4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4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4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4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4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4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4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4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4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4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4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4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4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4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4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4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4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4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4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4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4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4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4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4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4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4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4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4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4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4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4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4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4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4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4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4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4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4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4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4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4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4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4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4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4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4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4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4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4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4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4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4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4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4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4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4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4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4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4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4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4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4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4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4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4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4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4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4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4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4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4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4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4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4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4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4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4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4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4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4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4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4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4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4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4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4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4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4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4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4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4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4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4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4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4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4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4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4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4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4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4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4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4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4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4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4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4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4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4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4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4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4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4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4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4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4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4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4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4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4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4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4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4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4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4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4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4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4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4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4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4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4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4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4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4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4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4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4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4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4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4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4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4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4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4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4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4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4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4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4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4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4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4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4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4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4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4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4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4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4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4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4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4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4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4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4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4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4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4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4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4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4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4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4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4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4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4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4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4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4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4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4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4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4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4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4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4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4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4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4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4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4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4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4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4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4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4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4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4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4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4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4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4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4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4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4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4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4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4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4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4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4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4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4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4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4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4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4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4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4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4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4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4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4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4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4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4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4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4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4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4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4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4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4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4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4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4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4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4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4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4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4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4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4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4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4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4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4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4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4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4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4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4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4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4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4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4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4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4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4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4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4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4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4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4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4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4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4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4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4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4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4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4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4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4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4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4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4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4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4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4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4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4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4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4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4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4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4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4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4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4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4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4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4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4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4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4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4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4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4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4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4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4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4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4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4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4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4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4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4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4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4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4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4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4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4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4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4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4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4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4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4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4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4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4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4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4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4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4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4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4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4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4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4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4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4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4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4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4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4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4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4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4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4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4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4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4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4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4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4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4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4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4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4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4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4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4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4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4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4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4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4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4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4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4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4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4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4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4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4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4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4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4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4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4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4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4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4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4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4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4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4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4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4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4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4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4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4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4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4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4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4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4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4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4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4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4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4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4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4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4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4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4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4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4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4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4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4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4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4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4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4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4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4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4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4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4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4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4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4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4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4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4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4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4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4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4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4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4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4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4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4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4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4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4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4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4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4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4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4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4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4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4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4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4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4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4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4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4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4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4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4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4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4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4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4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4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4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4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4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4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4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4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4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4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4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4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4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4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4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4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4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4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4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4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4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4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4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4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4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4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4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4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4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4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4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4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4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4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4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4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4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4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4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4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4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4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4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4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4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4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4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4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4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4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4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4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4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4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4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4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4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4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4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4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4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4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4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4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4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4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4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4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4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4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4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4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4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4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4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4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4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4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4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4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4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4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4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4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4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4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4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4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4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4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4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4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4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4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4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4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4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4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4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4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4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4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4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4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4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4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4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4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4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4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4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4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4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4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4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4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4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4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4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4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4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4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4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4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4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4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4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4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4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4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4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4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4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4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4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4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4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4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4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4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4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4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4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4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4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4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4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4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4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4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4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4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4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4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4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4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4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4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4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4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4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4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4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4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4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4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4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4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4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4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4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4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4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4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4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4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4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4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4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4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4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4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4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4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4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4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4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4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4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4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4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4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4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4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4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4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4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4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4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4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4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4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4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4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4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4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4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4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4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4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4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4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4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4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4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4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4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4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4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4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4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4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4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4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4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4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4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4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4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4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4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4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4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4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4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4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4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4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4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4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4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4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4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4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4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4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4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4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4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4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4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4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4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4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4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4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4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4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4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4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4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4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4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4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4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4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4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4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4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4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4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4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4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4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4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4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4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4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4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4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4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4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4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4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4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4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4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4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4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4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4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4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4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4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4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4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4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4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4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4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4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4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4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4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4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4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4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4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4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4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4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4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4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4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4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4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4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4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4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4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4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4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4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4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4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4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4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4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4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4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4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4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4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4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4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4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4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4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4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4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4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4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4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4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4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4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4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4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4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4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4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4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4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4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4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4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4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4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4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4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4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4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4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4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4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4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4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4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4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4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4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4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4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4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4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4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4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4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4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4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4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4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4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4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4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4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4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4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4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4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4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4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4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4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4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4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4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4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4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4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4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4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4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4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4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4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4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4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4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4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4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4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4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4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4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4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4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4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4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4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4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4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4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4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4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4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4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4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4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4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4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4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4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4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4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4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4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4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4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4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4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4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4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4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4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4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4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4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4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4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4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4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4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4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4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4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4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4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4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4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4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4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4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4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4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4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4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4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4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4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4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4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4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4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4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4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4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4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4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4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4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4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4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4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4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4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4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4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4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4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4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4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4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4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4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4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4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4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4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4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4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4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4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4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4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4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4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4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4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4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4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4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4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4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4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4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4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4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4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4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4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4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4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4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4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4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4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4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4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4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4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4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4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4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4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4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4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4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4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4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4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4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4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4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4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4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4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4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4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4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4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4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4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4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4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4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4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4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4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4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4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4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4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4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4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4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4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4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4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4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4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4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4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4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4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4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4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4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4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4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4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4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4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4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4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4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4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4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4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4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4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4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4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4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4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4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4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4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4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4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4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4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4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4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4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4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4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4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4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4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4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4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4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4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4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4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4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4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4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4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4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4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4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4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4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4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4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4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4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4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4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4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4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4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4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4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4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4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4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4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4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4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4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4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4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4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4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4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4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4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4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4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4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4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4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4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4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4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4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4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4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4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4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4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4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4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4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4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4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4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4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4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4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4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4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4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4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4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4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4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4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4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4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4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4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4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4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4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4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4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4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4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4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4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4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4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4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4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4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4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4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4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4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4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4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4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4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4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4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4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4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4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4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4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4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4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4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4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4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4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4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4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4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4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4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4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4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4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4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4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4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4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4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4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4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4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4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4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4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4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4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4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4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4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4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4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4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4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4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4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4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4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4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4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4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4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4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4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4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4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4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4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4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4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4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4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4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4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4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4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4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4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4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4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4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4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4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4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4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4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4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4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4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4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4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4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4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4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4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4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4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4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4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4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4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4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4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4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4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4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4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4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4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4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4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4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4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4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4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4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4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4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4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4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4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4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4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4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4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4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4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4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4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4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4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4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4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4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4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4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4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4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4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4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4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4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4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4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4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4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4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4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4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4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4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4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4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4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4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4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4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4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4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4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4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4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4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4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4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4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4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4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4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4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4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4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4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4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4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4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4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4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4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4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4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4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4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4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4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4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4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4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4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4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4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4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4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4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4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4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4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4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4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4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4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4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4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4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4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4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4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4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4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4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4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4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4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4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4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4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4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4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4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4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4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4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4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4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4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4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4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4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4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4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4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4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4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4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4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4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4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4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4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4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4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4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4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4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4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4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4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4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4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4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4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4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4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4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4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4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4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4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4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4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4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4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4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4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4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4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4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4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4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4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4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4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4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4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4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4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4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4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4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4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4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4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4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4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4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4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4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4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4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4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4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4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4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4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4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4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4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4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4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4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4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4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4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4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4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4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4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4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4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4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4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4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4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4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4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4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4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4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4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4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4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4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4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4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4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4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4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4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4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4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4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4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4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4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4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4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4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4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4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4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4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4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4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4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4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4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4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4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4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4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4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4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4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4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4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4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4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4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4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4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4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4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4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4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4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4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4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4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4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4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4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4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4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4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4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4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4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4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4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4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4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4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4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4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4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4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4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4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4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4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4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4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4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4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4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4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4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4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4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4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4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4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4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4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4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4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4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4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4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4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4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4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4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4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4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4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4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4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4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4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4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4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4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4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4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4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4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4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4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4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4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4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4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4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4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4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4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4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4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4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4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4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4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4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4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4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4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4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4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4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4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4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4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4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4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4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4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4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4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4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4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4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4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4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4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4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4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4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4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4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4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4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4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4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4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4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4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4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4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4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4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4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4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4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4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4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4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4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4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4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4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4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4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4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4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4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4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4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4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4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4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4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4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4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4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4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4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4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4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4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4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4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4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4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4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4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4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4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4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4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4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4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4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4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4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4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4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4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4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4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4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4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4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4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4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4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4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4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4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4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4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4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4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4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4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4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4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4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4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4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4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4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4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4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4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4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4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4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4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4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4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4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4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4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4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4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4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4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4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4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4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4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4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4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4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4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4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4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4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4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4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4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4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4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4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4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4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4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4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4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4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4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4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4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4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4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4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4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4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4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4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4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4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4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4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4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4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4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4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4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4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4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4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4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4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4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4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4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4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4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4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4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4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4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4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4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4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4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4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4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4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4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4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4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4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4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4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4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4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4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4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4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4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4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4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4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4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4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4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4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4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4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4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4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4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4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4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4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4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4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4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4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4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4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4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4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4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4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4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4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4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4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4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4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4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4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IF(D4140&lt;&gt;"",MAX('[1]DDD Model Calculations'!$D$20-'[1]Weather Data'!D4140,0),MAX('[1]DDD Model Calculations'!$D$20-AVERAGE('[1]Weather Data'!D4139,'[1]Weather Data'!D4141),0))</f>
        <v>10.199999809265137</v>
      </c>
      <c r="I4140">
        <f>IF(E4140&lt;&gt;"",MAX('[1]DDD Model Calculations'!$D$20-'[1]Weather Data'!E4140,0),MAX('[1]DDD Model Calculations'!$D$20-AVERAGE('[1]Weather Data'!E4139,'[1]Weather Data'!E4141),0))</f>
        <v>6.8999996185302734</v>
      </c>
      <c r="J4140">
        <f>IF(F4140&lt;&gt;"",MAX('[1]DDD Model Calculations'!$D$20-'[1]Weather Data'!F4140,0),MAX('[1]DDD Model Calculations'!$D$20-AVERAGE('[1]Weather Data'!F4139,'[1]Weather Data'!F4141),0))</f>
        <v>11.099999904632568</v>
      </c>
      <c r="K4140">
        <f>IF(G4140&lt;&gt;"",MAX('[1]DDD Model Calculations'!$D$20-'[1]Weather Data'!G4140,0),MAX('[1]DDD Model Calculations'!$D$20-AVERAGE('[1]Weather Data'!G4139,'[1]Weather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4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IF(D4141&lt;&gt;"",MAX('[1]DDD Model Calculations'!$D$20-'[1]Weather Data'!D4141,0),MAX('[1]DDD Model Calculations'!$D$20-AVERAGE('[1]Weather Data'!D4140,'[1]Weather Data'!D4142),0))</f>
        <v>4.1000003814697266</v>
      </c>
      <c r="I4141">
        <f>IF(E4141&lt;&gt;"",MAX('[1]DDD Model Calculations'!$D$20-'[1]Weather Data'!E4141,0),MAX('[1]DDD Model Calculations'!$D$20-AVERAGE('[1]Weather Data'!E4140,'[1]Weather Data'!E4142),0))</f>
        <v>4.8000001907348633</v>
      </c>
      <c r="J4141">
        <f>IF(F4141&lt;&gt;"",MAX('[1]DDD Model Calculations'!$D$20-'[1]Weather Data'!F4141,0),MAX('[1]DDD Model Calculations'!$D$20-AVERAGE('[1]Weather Data'!F4140,'[1]Weather Data'!F4142),0))</f>
        <v>3.3999996185302734</v>
      </c>
      <c r="K4141">
        <f>IF(G4141&lt;&gt;"",MAX('[1]DDD Model Calculations'!$D$20-'[1]Weather Data'!G4141,0),MAX('[1]DDD Model Calculations'!$D$20-AVERAGE('[1]Weather Data'!G4140,'[1]Weather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4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IF(D4142&lt;&gt;"",MAX('[1]DDD Model Calculations'!$D$20-'[1]Weather Data'!D4142,0),MAX('[1]DDD Model Calculations'!$D$20-AVERAGE('[1]Weather Data'!D4141,'[1]Weather Data'!D4143),0))</f>
        <v>9.8999996185302734</v>
      </c>
      <c r="I4142">
        <f>IF(E4142&lt;&gt;"",MAX('[1]DDD Model Calculations'!$D$20-'[1]Weather Data'!E4142,0),MAX('[1]DDD Model Calculations'!$D$20-AVERAGE('[1]Weather Data'!E4141,'[1]Weather Data'!E4143),0))</f>
        <v>9.1000003814697266</v>
      </c>
      <c r="J4142">
        <f>IF(F4142&lt;&gt;"",MAX('[1]DDD Model Calculations'!$D$20-'[1]Weather Data'!F4142,0),MAX('[1]DDD Model Calculations'!$D$20-AVERAGE('[1]Weather Data'!F4141,'[1]Weather Data'!F4143),0))</f>
        <v>7.1999998092651367</v>
      </c>
      <c r="K4142">
        <f>IF(G4142&lt;&gt;"",MAX('[1]DDD Model Calculations'!$D$20-'[1]Weather Data'!G4142,0),MAX('[1]DDD Model Calculations'!$D$20-AVERAGE('[1]Weather Data'!G4141,'[1]Weather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4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IF(D4143&lt;&gt;"",MAX('[1]DDD Model Calculations'!$D$20-'[1]Weather Data'!D4143,0),MAX('[1]DDD Model Calculations'!$D$20-AVERAGE('[1]Weather Data'!D4142,'[1]Weather Data'!D4144),0))</f>
        <v>8.1999998092651367</v>
      </c>
      <c r="I4143">
        <f>IF(E4143&lt;&gt;"",MAX('[1]DDD Model Calculations'!$D$20-'[1]Weather Data'!E4143,0),MAX('[1]DDD Model Calculations'!$D$20-AVERAGE('[1]Weather Data'!E4142,'[1]Weather Data'!E4144),0))</f>
        <v>8.3000001907348633</v>
      </c>
      <c r="J4143">
        <f>IF(F4143&lt;&gt;"",MAX('[1]DDD Model Calculations'!$D$20-'[1]Weather Data'!F4143,0),MAX('[1]DDD Model Calculations'!$D$20-AVERAGE('[1]Weather Data'!F4142,'[1]Weather Data'!F4144),0))</f>
        <v>5</v>
      </c>
      <c r="K4143">
        <f>IF(G4143&lt;&gt;"",MAX('[1]DDD Model Calculations'!$D$20-'[1]Weather Data'!G4143,0),MAX('[1]DDD Model Calculations'!$D$20-AVERAGE('[1]Weather Data'!G4142,'[1]Weather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4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IF(D4144&lt;&gt;"",MAX('[1]DDD Model Calculations'!$D$20-'[1]Weather Data'!D4144,0),MAX('[1]DDD Model Calculations'!$D$20-AVERAGE('[1]Weather Data'!D4143,'[1]Weather Data'!D4145),0))</f>
        <v>2.6999998092651367</v>
      </c>
      <c r="I4144">
        <f>IF(E4144&lt;&gt;"",MAX('[1]DDD Model Calculations'!$D$20-'[1]Weather Data'!E4144,0),MAX('[1]DDD Model Calculations'!$D$20-AVERAGE('[1]Weather Data'!E4143,'[1]Weather Data'!E4145),0))</f>
        <v>2.1999998092651367</v>
      </c>
      <c r="J4144">
        <f>IF(F4144&lt;&gt;"",MAX('[1]DDD Model Calculations'!$D$20-'[1]Weather Data'!F4144,0),MAX('[1]DDD Model Calculations'!$D$20-AVERAGE('[1]Weather Data'!F4143,'[1]Weather Data'!F4145),0))</f>
        <v>3.1000003814697266</v>
      </c>
      <c r="K4144">
        <f>IF(G4144&lt;&gt;"",MAX('[1]DDD Model Calculations'!$D$20-'[1]Weather Data'!G4144,0),MAX('[1]DDD Model Calculations'!$D$20-AVERAGE('[1]Weather Data'!G4143,'[1]Weather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4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IF(D4145&lt;&gt;"",MAX('[1]DDD Model Calculations'!$D$20-'[1]Weather Data'!D4145,0),MAX('[1]DDD Model Calculations'!$D$20-AVERAGE('[1]Weather Data'!D4144,'[1]Weather Data'!D4146),0))</f>
        <v>3.6999998092651367</v>
      </c>
      <c r="I4145">
        <f>IF(E4145&lt;&gt;"",MAX('[1]DDD Model Calculations'!$D$20-'[1]Weather Data'!E4145,0),MAX('[1]DDD Model Calculations'!$D$20-AVERAGE('[1]Weather Data'!E4144,'[1]Weather Data'!E4146),0))</f>
        <v>4.5</v>
      </c>
      <c r="J4145">
        <f>IF(F4145&lt;&gt;"",MAX('[1]DDD Model Calculations'!$D$20-'[1]Weather Data'!F4145,0),MAX('[1]DDD Model Calculations'!$D$20-AVERAGE('[1]Weather Data'!F4144,'[1]Weather Data'!F4146),0))</f>
        <v>0.10000038146972656</v>
      </c>
      <c r="K4145">
        <f>IF(G4145&lt;&gt;"",MAX('[1]DDD Model Calculations'!$D$20-'[1]Weather Data'!G4145,0),MAX('[1]DDD Model Calculations'!$D$20-AVERAGE('[1]Weather Data'!G4144,'[1]Weather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4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IF(D4146&lt;&gt;"",MAX('[1]DDD Model Calculations'!$D$20-'[1]Weather Data'!D4146,0),MAX('[1]DDD Model Calculations'!$D$20-AVERAGE('[1]Weather Data'!D4145,'[1]Weather Data'!D4147),0))</f>
        <v>2.6999998092651367</v>
      </c>
      <c r="I4146">
        <f>IF(E4146&lt;&gt;"",MAX('[1]DDD Model Calculations'!$D$20-'[1]Weather Data'!E4146,0),MAX('[1]DDD Model Calculations'!$D$20-AVERAGE('[1]Weather Data'!E4145,'[1]Weather Data'!E4147),0))</f>
        <v>5.1999998092651367</v>
      </c>
      <c r="J4146">
        <f>IF(F4146&lt;&gt;"",MAX('[1]DDD Model Calculations'!$D$20-'[1]Weather Data'!F4146,0),MAX('[1]DDD Model Calculations'!$D$20-AVERAGE('[1]Weather Data'!F4145,'[1]Weather Data'!F4147),0))</f>
        <v>4.8999996185302734</v>
      </c>
      <c r="K4146">
        <f>IF(G4146&lt;&gt;"",MAX('[1]DDD Model Calculations'!$D$20-'[1]Weather Data'!G4146,0),MAX('[1]DDD Model Calculations'!$D$20-AVERAGE('[1]Weather Data'!G4145,'[1]Weather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4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IF(D4147&lt;&gt;"",MAX('[1]DDD Model Calculations'!$D$20-'[1]Weather Data'!D4147,0),MAX('[1]DDD Model Calculations'!$D$20-AVERAGE('[1]Weather Data'!D4146,'[1]Weather Data'!D4148),0))</f>
        <v>8.3999996185302734</v>
      </c>
      <c r="I4147">
        <f>IF(E4147&lt;&gt;"",MAX('[1]DDD Model Calculations'!$D$20-'[1]Weather Data'!E4147,0),MAX('[1]DDD Model Calculations'!$D$20-AVERAGE('[1]Weather Data'!E4146,'[1]Weather Data'!E4148),0))</f>
        <v>9.3000001907348633</v>
      </c>
      <c r="J4147">
        <f>IF(F4147&lt;&gt;"",MAX('[1]DDD Model Calculations'!$D$20-'[1]Weather Data'!F4147,0),MAX('[1]DDD Model Calculations'!$D$20-AVERAGE('[1]Weather Data'!F4146,'[1]Weather Data'!F4148),0))</f>
        <v>9.6000003814697266</v>
      </c>
      <c r="K4147">
        <f>IF(G4147&lt;&gt;"",MAX('[1]DDD Model Calculations'!$D$20-'[1]Weather Data'!G4147,0),MAX('[1]DDD Model Calculations'!$D$20-AVERAGE('[1]Weather Data'!G4146,'[1]Weather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4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IF(D4148&lt;&gt;"",MAX('[1]DDD Model Calculations'!$D$20-'[1]Weather Data'!D4148,0),MAX('[1]DDD Model Calculations'!$D$20-AVERAGE('[1]Weather Data'!D4147,'[1]Weather Data'!D4149),0))</f>
        <v>7.5</v>
      </c>
      <c r="I4148">
        <f>IF(E4148&lt;&gt;"",MAX('[1]DDD Model Calculations'!$D$20-'[1]Weather Data'!E4148,0),MAX('[1]DDD Model Calculations'!$D$20-AVERAGE('[1]Weather Data'!E4147,'[1]Weather Data'!E4149),0))</f>
        <v>9.3999996185302734</v>
      </c>
      <c r="J4148">
        <f>IF(F4148&lt;&gt;"",MAX('[1]DDD Model Calculations'!$D$20-'[1]Weather Data'!F4148,0),MAX('[1]DDD Model Calculations'!$D$20-AVERAGE('[1]Weather Data'!F4147,'[1]Weather Data'!F4149),0))</f>
        <v>8.5</v>
      </c>
      <c r="K4148">
        <f>IF(G4148&lt;&gt;"",MAX('[1]DDD Model Calculations'!$D$20-'[1]Weather Data'!G4148,0),MAX('[1]DDD Model Calculations'!$D$20-AVERAGE('[1]Weather Data'!G4147,'[1]Weather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4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IF(D4149&lt;&gt;"",MAX('[1]DDD Model Calculations'!$D$20-'[1]Weather Data'!D4149,0),MAX('[1]DDD Model Calculations'!$D$20-AVERAGE('[1]Weather Data'!D4148,'[1]Weather Data'!D4150),0))</f>
        <v>4.3999996185302734</v>
      </c>
      <c r="I4149">
        <f>IF(E4149&lt;&gt;"",MAX('[1]DDD Model Calculations'!$D$20-'[1]Weather Data'!E4149,0),MAX('[1]DDD Model Calculations'!$D$20-AVERAGE('[1]Weather Data'!E4148,'[1]Weather Data'!E4150),0))</f>
        <v>6.3000001907348633</v>
      </c>
      <c r="J4149">
        <f>IF(F4149&lt;&gt;"",MAX('[1]DDD Model Calculations'!$D$20-'[1]Weather Data'!F4149,0),MAX('[1]DDD Model Calculations'!$D$20-AVERAGE('[1]Weather Data'!F4148,'[1]Weather Data'!F4150),0))</f>
        <v>3.8999996185302734</v>
      </c>
      <c r="K4149">
        <f>IF(G4149&lt;&gt;"",MAX('[1]DDD Model Calculations'!$D$20-'[1]Weather Data'!G4149,0),MAX('[1]DDD Model Calculations'!$D$20-AVERAGE('[1]Weather Data'!G4148,'[1]Weather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4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IF(D4150&lt;&gt;"",MAX('[1]DDD Model Calculations'!$D$20-'[1]Weather Data'!D4150,0),MAX('[1]DDD Model Calculations'!$D$20-AVERAGE('[1]Weather Data'!D4149,'[1]Weather Data'!D4151),0))</f>
        <v>8.3999996185302734</v>
      </c>
      <c r="I4150">
        <f>IF(E4150&lt;&gt;"",MAX('[1]DDD Model Calculations'!$D$20-'[1]Weather Data'!E4150,0),MAX('[1]DDD Model Calculations'!$D$20-AVERAGE('[1]Weather Data'!E4149,'[1]Weather Data'!E4151),0))</f>
        <v>6</v>
      </c>
      <c r="J4150">
        <f>IF(F4150&lt;&gt;"",MAX('[1]DDD Model Calculations'!$D$20-'[1]Weather Data'!F4150,0),MAX('[1]DDD Model Calculations'!$D$20-AVERAGE('[1]Weather Data'!F4149,'[1]Weather Data'!F4151),0))</f>
        <v>8.1999998092651367</v>
      </c>
      <c r="K4150">
        <f>IF(G4150&lt;&gt;"",MAX('[1]DDD Model Calculations'!$D$20-'[1]Weather Data'!G4150,0),MAX('[1]DDD Model Calculations'!$D$20-AVERAGE('[1]Weather Data'!G4149,'[1]Weather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4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IF(D4151&lt;&gt;"",MAX('[1]DDD Model Calculations'!$D$20-'[1]Weather Data'!D4151,0),MAX('[1]DDD Model Calculations'!$D$20-AVERAGE('[1]Weather Data'!D4150,'[1]Weather Data'!D4152),0))</f>
        <v>1.7999992370605469</v>
      </c>
      <c r="I4151">
        <f>IF(E4151&lt;&gt;"",MAX('[1]DDD Model Calculations'!$D$20-'[1]Weather Data'!E4151,0),MAX('[1]DDD Model Calculations'!$D$20-AVERAGE('[1]Weather Data'!E4150,'[1]Weather Data'!E4152),0))</f>
        <v>1.7000007629394531</v>
      </c>
      <c r="J4151">
        <f>IF(F4151&lt;&gt;"",MAX('[1]DDD Model Calculations'!$D$20-'[1]Weather Data'!F4151,0),MAX('[1]DDD Model Calculations'!$D$20-AVERAGE('[1]Weather Data'!F4150,'[1]Weather Data'!F4152),0))</f>
        <v>2.1999998092651367</v>
      </c>
      <c r="K4151">
        <f>IF(G4151&lt;&gt;"",MAX('[1]DDD Model Calculations'!$D$20-'[1]Weather Data'!G4151,0),MAX('[1]DDD Model Calculations'!$D$20-AVERAGE('[1]Weather Data'!G4150,'[1]Weather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4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IF(D4152&lt;&gt;"",MAX('[1]DDD Model Calculations'!$D$20-'[1]Weather Data'!D4152,0),MAX('[1]DDD Model Calculations'!$D$20-AVERAGE('[1]Weather Data'!D4151,'[1]Weather Data'!D4153),0))</f>
        <v>0</v>
      </c>
      <c r="I4152">
        <f>IF(E4152&lt;&gt;"",MAX('[1]DDD Model Calculations'!$D$20-'[1]Weather Data'!E4152,0),MAX('[1]DDD Model Calculations'!$D$20-AVERAGE('[1]Weather Data'!E4151,'[1]Weather Data'!E4153),0))</f>
        <v>0</v>
      </c>
      <c r="J4152">
        <f>IF(F4152&lt;&gt;"",MAX('[1]DDD Model Calculations'!$D$20-'[1]Weather Data'!F4152,0),MAX('[1]DDD Model Calculations'!$D$20-AVERAGE('[1]Weather Data'!F4151,'[1]Weather Data'!F4153),0))</f>
        <v>0</v>
      </c>
      <c r="K4152">
        <f>IF(G4152&lt;&gt;"",MAX('[1]DDD Model Calculations'!$D$20-'[1]Weather Data'!G4152,0),MAX('[1]DDD Model Calculations'!$D$20-AVERAGE('[1]Weather Data'!G4151,'[1]Weather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4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IF(D4153&lt;&gt;"",MAX('[1]DDD Model Calculations'!$D$20-'[1]Weather Data'!D4153,0),MAX('[1]DDD Model Calculations'!$D$20-AVERAGE('[1]Weather Data'!D4152,'[1]Weather Data'!D4154),0))</f>
        <v>0.5</v>
      </c>
      <c r="I4153">
        <f>IF(E4153&lt;&gt;"",MAX('[1]DDD Model Calculations'!$D$20-'[1]Weather Data'!E4153,0),MAX('[1]DDD Model Calculations'!$D$20-AVERAGE('[1]Weather Data'!E4152,'[1]Weather Data'!E4154),0))</f>
        <v>0</v>
      </c>
      <c r="J4153">
        <f>IF(F4153&lt;&gt;"",MAX('[1]DDD Model Calculations'!$D$20-'[1]Weather Data'!F4153,0),MAX('[1]DDD Model Calculations'!$D$20-AVERAGE('[1]Weather Data'!F4152,'[1]Weather Data'!F4154),0))</f>
        <v>0</v>
      </c>
      <c r="K4153">
        <f>IF(G4153&lt;&gt;"",MAX('[1]DDD Model Calculations'!$D$20-'[1]Weather Data'!G4153,0),MAX('[1]DDD Model Calculations'!$D$20-AVERAGE('[1]Weather Data'!G4152,'[1]Weather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4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IF(D4154&lt;&gt;"",MAX('[1]DDD Model Calculations'!$D$20-'[1]Weather Data'!D4154,0),MAX('[1]DDD Model Calculations'!$D$20-AVERAGE('[1]Weather Data'!D4153,'[1]Weather Data'!D4155),0))</f>
        <v>0</v>
      </c>
      <c r="I4154">
        <f>IF(E4154&lt;&gt;"",MAX('[1]DDD Model Calculations'!$D$20-'[1]Weather Data'!E4154,0),MAX('[1]DDD Model Calculations'!$D$20-AVERAGE('[1]Weather Data'!E4153,'[1]Weather Data'!E4155),0))</f>
        <v>0</v>
      </c>
      <c r="J4154">
        <f>IF(F4154&lt;&gt;"",MAX('[1]DDD Model Calculations'!$D$20-'[1]Weather Data'!F4154,0),MAX('[1]DDD Model Calculations'!$D$20-AVERAGE('[1]Weather Data'!F4153,'[1]Weather Data'!F4155),0))</f>
        <v>0</v>
      </c>
      <c r="K4154">
        <f>IF(G4154&lt;&gt;"",MAX('[1]DDD Model Calculations'!$D$20-'[1]Weather Data'!G4154,0),MAX('[1]DDD Model Calculations'!$D$20-AVERAGE('[1]Weather Data'!G4153,'[1]Weather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4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IF(D4155&lt;&gt;"",MAX('[1]DDD Model Calculations'!$D$20-'[1]Weather Data'!D4155,0),MAX('[1]DDD Model Calculations'!$D$20-AVERAGE('[1]Weather Data'!D4154,'[1]Weather Data'!D4156),0))</f>
        <v>0</v>
      </c>
      <c r="I4155">
        <f>IF(E4155&lt;&gt;"",MAX('[1]DDD Model Calculations'!$D$20-'[1]Weather Data'!E4155,0),MAX('[1]DDD Model Calculations'!$D$20-AVERAGE('[1]Weather Data'!E4154,'[1]Weather Data'!E4156),0))</f>
        <v>0</v>
      </c>
      <c r="J4155">
        <f>IF(F4155&lt;&gt;"",MAX('[1]DDD Model Calculations'!$D$20-'[1]Weather Data'!F4155,0),MAX('[1]DDD Model Calculations'!$D$20-AVERAGE('[1]Weather Data'!F4154,'[1]Weather Data'!F4156),0))</f>
        <v>0</v>
      </c>
      <c r="K4155">
        <f>IF(G4155&lt;&gt;"",MAX('[1]DDD Model Calculations'!$D$20-'[1]Weather Data'!G4155,0),MAX('[1]DDD Model Calculations'!$D$20-AVERAGE('[1]Weather Data'!G4154,'[1]Weather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4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IF(D4156&lt;&gt;"",MAX('[1]DDD Model Calculations'!$D$20-'[1]Weather Data'!D4156,0),MAX('[1]DDD Model Calculations'!$D$20-AVERAGE('[1]Weather Data'!D4155,'[1]Weather Data'!D4157),0))</f>
        <v>1.7000007629394531</v>
      </c>
      <c r="I4156">
        <f>IF(E4156&lt;&gt;"",MAX('[1]DDD Model Calculations'!$D$20-'[1]Weather Data'!E4156,0),MAX('[1]DDD Model Calculations'!$D$20-AVERAGE('[1]Weather Data'!E4155,'[1]Weather Data'!E4157),0))</f>
        <v>2.5</v>
      </c>
      <c r="J4156">
        <f>IF(F4156&lt;&gt;"",MAX('[1]DDD Model Calculations'!$D$20-'[1]Weather Data'!F4156,0),MAX('[1]DDD Model Calculations'!$D$20-AVERAGE('[1]Weather Data'!F4155,'[1]Weather Data'!F4157),0))</f>
        <v>1.2000007629394531</v>
      </c>
      <c r="K4156">
        <f>IF(G4156&lt;&gt;"",MAX('[1]DDD Model Calculations'!$D$20-'[1]Weather Data'!G4156,0),MAX('[1]DDD Model Calculations'!$D$20-AVERAGE('[1]Weather Data'!G4155,'[1]Weather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4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IF(D4157&lt;&gt;"",MAX('[1]DDD Model Calculations'!$D$20-'[1]Weather Data'!D4157,0),MAX('[1]DDD Model Calculations'!$D$20-AVERAGE('[1]Weather Data'!D4156,'[1]Weather Data'!D4158),0))</f>
        <v>4.6999998092651367</v>
      </c>
      <c r="I4157">
        <f>IF(E4157&lt;&gt;"",MAX('[1]DDD Model Calculations'!$D$20-'[1]Weather Data'!E4157,0),MAX('[1]DDD Model Calculations'!$D$20-AVERAGE('[1]Weather Data'!E4156,'[1]Weather Data'!E4158),0))</f>
        <v>8.3999996185302734</v>
      </c>
      <c r="J4157">
        <f>IF(F4157&lt;&gt;"",MAX('[1]DDD Model Calculations'!$D$20-'[1]Weather Data'!F4157,0),MAX('[1]DDD Model Calculations'!$D$20-AVERAGE('[1]Weather Data'!F4156,'[1]Weather Data'!F4158),0))</f>
        <v>7.8999996185302734</v>
      </c>
      <c r="K4157">
        <f>IF(G4157&lt;&gt;"",MAX('[1]DDD Model Calculations'!$D$20-'[1]Weather Data'!G4157,0),MAX('[1]DDD Model Calculations'!$D$20-AVERAGE('[1]Weather Data'!G4156,'[1]Weather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4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IF(D4158&lt;&gt;"",MAX('[1]DDD Model Calculations'!$D$20-'[1]Weather Data'!D4158,0),MAX('[1]DDD Model Calculations'!$D$20-AVERAGE('[1]Weather Data'!D4157,'[1]Weather Data'!D4159),0))</f>
        <v>8.3000001907348633</v>
      </c>
      <c r="I4158">
        <f>IF(E4158&lt;&gt;"",MAX('[1]DDD Model Calculations'!$D$20-'[1]Weather Data'!E4158,0),MAX('[1]DDD Model Calculations'!$D$20-AVERAGE('[1]Weather Data'!E4157,'[1]Weather Data'!E4159),0))</f>
        <v>9.3999996185302734</v>
      </c>
      <c r="J4158">
        <f>IF(F4158&lt;&gt;"",MAX('[1]DDD Model Calculations'!$D$20-'[1]Weather Data'!F4158,0),MAX('[1]DDD Model Calculations'!$D$20-AVERAGE('[1]Weather Data'!F4157,'[1]Weather Data'!F4159),0))</f>
        <v>9.8999996185302734</v>
      </c>
      <c r="K4158">
        <f>IF(G4158&lt;&gt;"",MAX('[1]DDD Model Calculations'!$D$20-'[1]Weather Data'!G4158,0),MAX('[1]DDD Model Calculations'!$D$20-AVERAGE('[1]Weather Data'!G4157,'[1]Weather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4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IF(D4159&lt;&gt;"",MAX('[1]DDD Model Calculations'!$D$20-'[1]Weather Data'!D4159,0),MAX('[1]DDD Model Calculations'!$D$20-AVERAGE('[1]Weather Data'!D4158,'[1]Weather Data'!D4160),0))</f>
        <v>9.1999998092651367</v>
      </c>
      <c r="I4159">
        <f>IF(E4159&lt;&gt;"",MAX('[1]DDD Model Calculations'!$D$20-'[1]Weather Data'!E4159,0),MAX('[1]DDD Model Calculations'!$D$20-AVERAGE('[1]Weather Data'!E4158,'[1]Weather Data'!E4160),0))</f>
        <v>8.6000003814697266</v>
      </c>
      <c r="J4159">
        <f>IF(F4159&lt;&gt;"",MAX('[1]DDD Model Calculations'!$D$20-'[1]Weather Data'!F4159,0),MAX('[1]DDD Model Calculations'!$D$20-AVERAGE('[1]Weather Data'!F4158,'[1]Weather Data'!F4160),0))</f>
        <v>10.199999809265137</v>
      </c>
      <c r="K4159">
        <f>IF(G4159&lt;&gt;"",MAX('[1]DDD Model Calculations'!$D$20-'[1]Weather Data'!G4159,0),MAX('[1]DDD Model Calculations'!$D$20-AVERAGE('[1]Weather Data'!G4158,'[1]Weather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4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IF(D4160&lt;&gt;"",MAX('[1]DDD Model Calculations'!$D$20-'[1]Weather Data'!D4160,0),MAX('[1]DDD Model Calculations'!$D$20-AVERAGE('[1]Weather Data'!D4159,'[1]Weather Data'!D4161),0))</f>
        <v>9</v>
      </c>
      <c r="I4160">
        <f>IF(E4160&lt;&gt;"",MAX('[1]DDD Model Calculations'!$D$20-'[1]Weather Data'!E4160,0),MAX('[1]DDD Model Calculations'!$D$20-AVERAGE('[1]Weather Data'!E4159,'[1]Weather Data'!E4161),0))</f>
        <v>9</v>
      </c>
      <c r="J4160">
        <f>IF(F4160&lt;&gt;"",MAX('[1]DDD Model Calculations'!$D$20-'[1]Weather Data'!F4160,0),MAX('[1]DDD Model Calculations'!$D$20-AVERAGE('[1]Weather Data'!F4159,'[1]Weather Data'!F4161),0))</f>
        <v>7.1000003814697266</v>
      </c>
      <c r="K4160">
        <f>IF(G4160&lt;&gt;"",MAX('[1]DDD Model Calculations'!$D$20-'[1]Weather Data'!G4160,0),MAX('[1]DDD Model Calculations'!$D$20-AVERAGE('[1]Weather Data'!G4159,'[1]Weather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4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IF(D4161&lt;&gt;"",MAX('[1]DDD Model Calculations'!$D$20-'[1]Weather Data'!D4161,0),MAX('[1]DDD Model Calculations'!$D$20-AVERAGE('[1]Weather Data'!D4160,'[1]Weather Data'!D4162),0))</f>
        <v>9.3000001907348633</v>
      </c>
      <c r="I4161">
        <f>IF(E4161&lt;&gt;"",MAX('[1]DDD Model Calculations'!$D$20-'[1]Weather Data'!E4161,0),MAX('[1]DDD Model Calculations'!$D$20-AVERAGE('[1]Weather Data'!E4160,'[1]Weather Data'!E4162),0))</f>
        <v>9.1000003814697266</v>
      </c>
      <c r="J4161">
        <f>IF(F4161&lt;&gt;"",MAX('[1]DDD Model Calculations'!$D$20-'[1]Weather Data'!F4161,0),MAX('[1]DDD Model Calculations'!$D$20-AVERAGE('[1]Weather Data'!F4160,'[1]Weather Data'!F4162),0))</f>
        <v>9</v>
      </c>
      <c r="K4161">
        <f>IF(G4161&lt;&gt;"",MAX('[1]DDD Model Calculations'!$D$20-'[1]Weather Data'!G4161,0),MAX('[1]DDD Model Calculations'!$D$20-AVERAGE('[1]Weather Data'!G4160,'[1]Weather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4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IF(D4162&lt;&gt;"",MAX('[1]DDD Model Calculations'!$D$20-'[1]Weather Data'!D4162,0),MAX('[1]DDD Model Calculations'!$D$20-AVERAGE('[1]Weather Data'!D4161,'[1]Weather Data'!D4163),0))</f>
        <v>7.5</v>
      </c>
      <c r="I4162">
        <f>IF(E4162&lt;&gt;"",MAX('[1]DDD Model Calculations'!$D$20-'[1]Weather Data'!E4162,0),MAX('[1]DDD Model Calculations'!$D$20-AVERAGE('[1]Weather Data'!E4161,'[1]Weather Data'!E4163),0))</f>
        <v>9.8999996185302734</v>
      </c>
      <c r="J4162">
        <f>IF(F4162&lt;&gt;"",MAX('[1]DDD Model Calculations'!$D$20-'[1]Weather Data'!F4162,0),MAX('[1]DDD Model Calculations'!$D$20-AVERAGE('[1]Weather Data'!F4161,'[1]Weather Data'!F4163),0))</f>
        <v>9.1999998092651367</v>
      </c>
      <c r="K4162">
        <f>IF(G4162&lt;&gt;"",MAX('[1]DDD Model Calculations'!$D$20-'[1]Weather Data'!G4162,0),MAX('[1]DDD Model Calculations'!$D$20-AVERAGE('[1]Weather Data'!G4161,'[1]Weather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4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IF(D4163&lt;&gt;"",MAX('[1]DDD Model Calculations'!$D$20-'[1]Weather Data'!D4163,0),MAX('[1]DDD Model Calculations'!$D$20-AVERAGE('[1]Weather Data'!D4162,'[1]Weather Data'!D4164),0))</f>
        <v>6.6000003814697266</v>
      </c>
      <c r="I4163">
        <f>IF(E4163&lt;&gt;"",MAX('[1]DDD Model Calculations'!$D$20-'[1]Weather Data'!E4163,0),MAX('[1]DDD Model Calculations'!$D$20-AVERAGE('[1]Weather Data'!E4162,'[1]Weather Data'!E4164),0))</f>
        <v>8.6000003814697266</v>
      </c>
      <c r="J4163">
        <f>IF(F4163&lt;&gt;"",MAX('[1]DDD Model Calculations'!$D$20-'[1]Weather Data'!F4163,0),MAX('[1]DDD Model Calculations'!$D$20-AVERAGE('[1]Weather Data'!F4162,'[1]Weather Data'!F4164),0))</f>
        <v>8.6999998092651367</v>
      </c>
      <c r="K4163">
        <f>IF(G4163&lt;&gt;"",MAX('[1]DDD Model Calculations'!$D$20-'[1]Weather Data'!G4163,0),MAX('[1]DDD Model Calculations'!$D$20-AVERAGE('[1]Weather Data'!G4162,'[1]Weather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4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IF(D4164&lt;&gt;"",MAX('[1]DDD Model Calculations'!$D$20-'[1]Weather Data'!D4164,0),MAX('[1]DDD Model Calculations'!$D$20-AVERAGE('[1]Weather Data'!D4163,'[1]Weather Data'!D4165),0))</f>
        <v>5.3999996185302734</v>
      </c>
      <c r="I4164">
        <f>IF(E4164&lt;&gt;"",MAX('[1]DDD Model Calculations'!$D$20-'[1]Weather Data'!E4164,0),MAX('[1]DDD Model Calculations'!$D$20-AVERAGE('[1]Weather Data'!E4163,'[1]Weather Data'!E4165),0))</f>
        <v>7.5</v>
      </c>
      <c r="J4164">
        <f>IF(F4164&lt;&gt;"",MAX('[1]DDD Model Calculations'!$D$20-'[1]Weather Data'!F4164,0),MAX('[1]DDD Model Calculations'!$D$20-AVERAGE('[1]Weather Data'!F4163,'[1]Weather Data'!F4165),0))</f>
        <v>4.8000001907348633</v>
      </c>
      <c r="K4164">
        <f>IF(G4164&lt;&gt;"",MAX('[1]DDD Model Calculations'!$D$20-'[1]Weather Data'!G4164,0),MAX('[1]DDD Model Calculations'!$D$20-AVERAGE('[1]Weather Data'!G4163,'[1]Weather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4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IF(D4165&lt;&gt;"",MAX('[1]DDD Model Calculations'!$D$20-'[1]Weather Data'!D4165,0),MAX('[1]DDD Model Calculations'!$D$20-AVERAGE('[1]Weather Data'!D4164,'[1]Weather Data'!D4166),0))</f>
        <v>3.6999998092651367</v>
      </c>
      <c r="I4165">
        <f>IF(E4165&lt;&gt;"",MAX('[1]DDD Model Calculations'!$D$20-'[1]Weather Data'!E4165,0),MAX('[1]DDD Model Calculations'!$D$20-AVERAGE('[1]Weather Data'!E4164,'[1]Weather Data'!E4166),0))</f>
        <v>4.5</v>
      </c>
      <c r="J4165">
        <f>IF(F4165&lt;&gt;"",MAX('[1]DDD Model Calculations'!$D$20-'[1]Weather Data'!F4165,0),MAX('[1]DDD Model Calculations'!$D$20-AVERAGE('[1]Weather Data'!F4164,'[1]Weather Data'!F4166),0))</f>
        <v>2.3000001907348633</v>
      </c>
      <c r="K4165">
        <f>IF(G4165&lt;&gt;"",MAX('[1]DDD Model Calculations'!$D$20-'[1]Weather Data'!G4165,0),MAX('[1]DDD Model Calculations'!$D$20-AVERAGE('[1]Weather Data'!G4164,'[1]Weather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4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IF(D4166&lt;&gt;"",MAX('[1]DDD Model Calculations'!$D$20-'[1]Weather Data'!D4166,0),MAX('[1]DDD Model Calculations'!$D$20-AVERAGE('[1]Weather Data'!D4165,'[1]Weather Data'!D4167),0))</f>
        <v>2.3000001907348633</v>
      </c>
      <c r="I4166">
        <f>IF(E4166&lt;&gt;"",MAX('[1]DDD Model Calculations'!$D$20-'[1]Weather Data'!E4166,0),MAX('[1]DDD Model Calculations'!$D$20-AVERAGE('[1]Weather Data'!E4165,'[1]Weather Data'!E4167),0))</f>
        <v>3.3000001907348633</v>
      </c>
      <c r="J4166">
        <f>IF(F4166&lt;&gt;"",MAX('[1]DDD Model Calculations'!$D$20-'[1]Weather Data'!F4166,0),MAX('[1]DDD Model Calculations'!$D$20-AVERAGE('[1]Weather Data'!F4165,'[1]Weather Data'!F4167),0))</f>
        <v>1.1000003814697266</v>
      </c>
      <c r="K4166">
        <f>IF(G4166&lt;&gt;"",MAX('[1]DDD Model Calculations'!$D$20-'[1]Weather Data'!G4166,0),MAX('[1]DDD Model Calculations'!$D$20-AVERAGE('[1]Weather Data'!G4165,'[1]Weather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4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IF(D4167&lt;&gt;"",MAX('[1]DDD Model Calculations'!$D$20-'[1]Weather Data'!D4167,0),MAX('[1]DDD Model Calculations'!$D$20-AVERAGE('[1]Weather Data'!D4166,'[1]Weather Data'!D4168),0))</f>
        <v>4.1000003814697266</v>
      </c>
      <c r="I4167">
        <f>IF(E4167&lt;&gt;"",MAX('[1]DDD Model Calculations'!$D$20-'[1]Weather Data'!E4167,0),MAX('[1]DDD Model Calculations'!$D$20-AVERAGE('[1]Weather Data'!E4166,'[1]Weather Data'!E4168),0))</f>
        <v>5.3000001907348633</v>
      </c>
      <c r="J4167">
        <f>IF(F4167&lt;&gt;"",MAX('[1]DDD Model Calculations'!$D$20-'[1]Weather Data'!F4167,0),MAX('[1]DDD Model Calculations'!$D$20-AVERAGE('[1]Weather Data'!F4166,'[1]Weather Data'!F4168),0))</f>
        <v>0.29999923706054688</v>
      </c>
      <c r="K4167">
        <f>IF(G4167&lt;&gt;"",MAX('[1]DDD Model Calculations'!$D$20-'[1]Weather Data'!G4167,0),MAX('[1]DDD Model Calculations'!$D$20-AVERAGE('[1]Weather Data'!G4166,'[1]Weather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4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IF(D4168&lt;&gt;"",MAX('[1]DDD Model Calculations'!$D$20-'[1]Weather Data'!D4168,0),MAX('[1]DDD Model Calculations'!$D$20-AVERAGE('[1]Weather Data'!D4167,'[1]Weather Data'!D4169),0))</f>
        <v>2.5</v>
      </c>
      <c r="I4168">
        <f>IF(E4168&lt;&gt;"",MAX('[1]DDD Model Calculations'!$D$20-'[1]Weather Data'!E4168,0),MAX('[1]DDD Model Calculations'!$D$20-AVERAGE('[1]Weather Data'!E4167,'[1]Weather Data'!E4169),0))</f>
        <v>3</v>
      </c>
      <c r="J4168">
        <f>IF(F4168&lt;&gt;"",MAX('[1]DDD Model Calculations'!$D$20-'[1]Weather Data'!F4168,0),MAX('[1]DDD Model Calculations'!$D$20-AVERAGE('[1]Weather Data'!F4167,'[1]Weather Data'!F4169),0))</f>
        <v>2.3000001907348633</v>
      </c>
      <c r="K4168">
        <f>IF(G4168&lt;&gt;"",MAX('[1]DDD Model Calculations'!$D$20-'[1]Weather Data'!G4168,0),MAX('[1]DDD Model Calculations'!$D$20-AVERAGE('[1]Weather Data'!G4167,'[1]Weather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4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IF(D4169&lt;&gt;"",MAX('[1]DDD Model Calculations'!$D$20-'[1]Weather Data'!D4169,0),MAX('[1]DDD Model Calculations'!$D$20-AVERAGE('[1]Weather Data'!D4168,'[1]Weather Data'!D4170),0))</f>
        <v>0</v>
      </c>
      <c r="I4169">
        <f>IF(E4169&lt;&gt;"",MAX('[1]DDD Model Calculations'!$D$20-'[1]Weather Data'!E4169,0),MAX('[1]DDD Model Calculations'!$D$20-AVERAGE('[1]Weather Data'!E4168,'[1]Weather Data'!E4170),0))</f>
        <v>1.3999996185302734</v>
      </c>
      <c r="J4169">
        <f>IF(F4169&lt;&gt;"",MAX('[1]DDD Model Calculations'!$D$20-'[1]Weather Data'!F4169,0),MAX('[1]DDD Model Calculations'!$D$20-AVERAGE('[1]Weather Data'!F4168,'[1]Weather Data'!F4170),0))</f>
        <v>0.29999923706054688</v>
      </c>
      <c r="K4169">
        <f>IF(G4169&lt;&gt;"",MAX('[1]DDD Model Calculations'!$D$20-'[1]Weather Data'!G4169,0),MAX('[1]DDD Model Calculations'!$D$20-AVERAGE('[1]Weather Data'!G4168,'[1]Weather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4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IF(D4170&lt;&gt;"",MAX('[1]DDD Model Calculations'!$D$20-'[1]Weather Data'!D4170,0),MAX('[1]DDD Model Calculations'!$D$20-AVERAGE('[1]Weather Data'!D4169,'[1]Weather Data'!D4171),0))</f>
        <v>7.3999996185302734</v>
      </c>
      <c r="I4170">
        <f>IF(E4170&lt;&gt;"",MAX('[1]DDD Model Calculations'!$D$20-'[1]Weather Data'!E4170,0),MAX('[1]DDD Model Calculations'!$D$20-AVERAGE('[1]Weather Data'!E4169,'[1]Weather Data'!E4171),0))</f>
        <v>8.3000001907348633</v>
      </c>
      <c r="J4170">
        <f>IF(F4170&lt;&gt;"",MAX('[1]DDD Model Calculations'!$D$20-'[1]Weather Data'!F4170,0),MAX('[1]DDD Model Calculations'!$D$20-AVERAGE('[1]Weather Data'!F4169,'[1]Weather Data'!F4171),0))</f>
        <v>6.6999998092651367</v>
      </c>
      <c r="K4170">
        <f>IF(G4170&lt;&gt;"",MAX('[1]DDD Model Calculations'!$D$20-'[1]Weather Data'!G4170,0),MAX('[1]DDD Model Calculations'!$D$20-AVERAGE('[1]Weather Data'!G4169,'[1]Weather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04OOdAhX1GQvgkfNtN5MTjuY/VOuVuwpwISbkmI7rwT2ku1jhzBgHkIjWAtyThp2LIBJ0PHgbt/MYVW8f/zoqg==" saltValue="N7g+ypQR+pJq6mV2qESzng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Props1.xml><?xml version="1.0" encoding="utf-8"?>
<ds:datastoreItem xmlns:ds="http://schemas.openxmlformats.org/officeDocument/2006/customXml" ds:itemID="{71FA49BD-F920-45F5-A2F0-38947BE8E9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FF94AD-D298-4344-9503-0DE723E5E52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0208095-FAF1-43D7-9A53-365106F78501}"/>
</file>

<file path=customXml/itemProps4.xml><?xml version="1.0" encoding="utf-8"?>
<ds:datastoreItem xmlns:ds="http://schemas.openxmlformats.org/officeDocument/2006/customXml" ds:itemID="{453DFA4A-783F-4719-A1FE-F97DDCAC2D23}">
  <ds:schemaRefs>
    <ds:schemaRef ds:uri="http://schemas.microsoft.com/office/2006/metadata/properties"/>
    <ds:schemaRef ds:uri="http://schemas.microsoft.com/office/infopath/2007/PartnerControls"/>
    <ds:schemaRef ds:uri="9a8041a0-405a-47ab-8c90-9d86ad117bdf"/>
    <ds:schemaRef ds:uri="bc9be6ef-036f-4d38-ab45-2a4da0c93c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Angela Monforton</cp:lastModifiedBy>
  <cp:revision/>
  <dcterms:created xsi:type="dcterms:W3CDTF">2025-04-16T14:14:55Z</dcterms:created>
  <dcterms:modified xsi:type="dcterms:W3CDTF">2025-07-02T22:00:28Z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_dlc_DocIdItemGuid">
    <vt:lpwstr>b45f8323-c1b8-4d16-8945-b7ddb8cef1c8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2025-06-20T15:23:55Z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3119cd9d-7870-4a8b-ab5b-366215cf48ff</vt:lpwstr>
  </property>
  <property fmtid="{D5CDD505-2E9C-101B-9397-08002B2CF9AE}" pid="10" name="MSIP_Label_b1a6f161-e42b-4c47-8f69-f6a81e023e2d_ContentBits">
    <vt:lpwstr>0</vt:lpwstr>
  </property>
  <property fmtid="{D5CDD505-2E9C-101B-9397-08002B2CF9AE}" pid="11" name="MSIP_Label_b1a6f161-e42b-4c47-8f69-f6a81e023e2d_Tag">
    <vt:lpwstr>10, 3, 0, 2</vt:lpwstr>
  </property>
</Properties>
</file>