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27" documentId="13_ncr:1_{BEED2577-E66A-468A-B0E7-B919F9D161E8}" xr6:coauthVersionLast="47" xr6:coauthVersionMax="47" xr10:uidLastSave="{DF86E2B1-3975-4A46-8014-89162AABAC1F}"/>
  <bookViews>
    <workbookView xWindow="-120" yWindow="-120" windowWidth="29040" windowHeight="15720" tabRatio="766" xr2:uid="{00000000-000D-0000-FFFF-FFFF00000000}"/>
  </bookViews>
  <sheets>
    <sheet name="R1" sheetId="13" r:id="rId1"/>
    <sheet name="R6" sheetId="16" r:id="rId2"/>
    <sheet name="m1" sheetId="19" r:id="rId3"/>
    <sheet name="m2" sheetId="20" r:id="rId4"/>
    <sheet name="1" sheetId="37" r:id="rId5"/>
    <sheet name="10" sheetId="38" r:id="rId6"/>
    <sheet name="LEGD Tables" sheetId="30" r:id="rId7"/>
    <sheet name="LUG Tables" sheetId="31" r:id="rId8"/>
    <sheet name="Load Factor" sheetId="15" r:id="rId9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44259.0115740741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3" l="1"/>
  <c r="K29" i="13"/>
  <c r="N357" i="31"/>
  <c r="M357" i="31"/>
  <c r="L357" i="31"/>
  <c r="K25" i="20"/>
  <c r="M25" i="20"/>
  <c r="I47" i="37" l="1"/>
  <c r="F110" i="31" l="1"/>
  <c r="M28" i="20"/>
  <c r="F166" i="31" s="1"/>
  <c r="L28" i="20"/>
  <c r="E24" i="31" s="1"/>
  <c r="M52" i="20"/>
  <c r="F178" i="31" s="1"/>
  <c r="L52" i="20"/>
  <c r="E110" i="31" s="1"/>
  <c r="M40" i="20"/>
  <c r="F86" i="31" s="1"/>
  <c r="L40" i="20"/>
  <c r="L41" i="20"/>
  <c r="N40" i="20" l="1"/>
  <c r="G154" i="31" s="1"/>
  <c r="F154" i="31"/>
  <c r="G86" i="31"/>
  <c r="G12" i="31"/>
  <c r="E36" i="31"/>
  <c r="E98" i="31"/>
  <c r="E154" i="31"/>
  <c r="E166" i="31"/>
  <c r="E12" i="31"/>
  <c r="F12" i="31"/>
  <c r="F24" i="31"/>
  <c r="F36" i="31"/>
  <c r="E86" i="31"/>
  <c r="F98" i="31"/>
  <c r="N28" i="20"/>
  <c r="E178" i="31"/>
  <c r="N52" i="20"/>
  <c r="G98" i="31" l="1"/>
  <c r="G24" i="31"/>
  <c r="G166" i="31"/>
  <c r="G36" i="31"/>
  <c r="G178" i="31"/>
  <c r="G110" i="31"/>
  <c r="L46" i="16"/>
  <c r="K46" i="16"/>
  <c r="L45" i="16"/>
  <c r="F307" i="30" s="1"/>
  <c r="K45" i="16"/>
  <c r="E307" i="30" s="1"/>
  <c r="L31" i="16"/>
  <c r="L30" i="16"/>
  <c r="F268" i="30" s="1"/>
  <c r="L59" i="13"/>
  <c r="K59" i="13"/>
  <c r="L58" i="13"/>
  <c r="F55" i="30" s="1"/>
  <c r="K58" i="13"/>
  <c r="L45" i="13"/>
  <c r="K45" i="13"/>
  <c r="L44" i="13"/>
  <c r="F196" i="30" s="1"/>
  <c r="K44" i="13"/>
  <c r="E24" i="30" s="1"/>
  <c r="L31" i="13"/>
  <c r="K31" i="13"/>
  <c r="L30" i="13"/>
  <c r="F122" i="30" s="1"/>
  <c r="K30" i="13"/>
  <c r="K30" i="16"/>
  <c r="K31" i="16"/>
  <c r="K29" i="16"/>
  <c r="N333" i="30"/>
  <c r="M333" i="30"/>
  <c r="L333" i="30"/>
  <c r="N320" i="30"/>
  <c r="M320" i="30"/>
  <c r="L320" i="30"/>
  <c r="N307" i="30"/>
  <c r="M307" i="30"/>
  <c r="L307" i="30"/>
  <c r="N294" i="30"/>
  <c r="M294" i="30"/>
  <c r="L294" i="30"/>
  <c r="N281" i="30"/>
  <c r="M281" i="30"/>
  <c r="L281" i="30"/>
  <c r="N268" i="30"/>
  <c r="M268" i="30"/>
  <c r="L268" i="30"/>
  <c r="N254" i="30"/>
  <c r="M254" i="30"/>
  <c r="L254" i="30"/>
  <c r="N241" i="30"/>
  <c r="M241" i="30"/>
  <c r="L241" i="30"/>
  <c r="N228" i="30"/>
  <c r="M228" i="30"/>
  <c r="L228" i="30"/>
  <c r="N209" i="30"/>
  <c r="M209" i="30"/>
  <c r="L209" i="30"/>
  <c r="N196" i="30"/>
  <c r="M196" i="30"/>
  <c r="L196" i="30"/>
  <c r="N183" i="30"/>
  <c r="M183" i="30"/>
  <c r="L183" i="30"/>
  <c r="N167" i="30"/>
  <c r="M167" i="30"/>
  <c r="L167" i="30"/>
  <c r="N154" i="30"/>
  <c r="M154" i="30"/>
  <c r="L154" i="30"/>
  <c r="N141" i="30"/>
  <c r="M141" i="30"/>
  <c r="L141" i="30"/>
  <c r="N122" i="30"/>
  <c r="M122" i="30"/>
  <c r="L122" i="30"/>
  <c r="N109" i="30"/>
  <c r="M109" i="30"/>
  <c r="L109" i="30"/>
  <c r="N96" i="30"/>
  <c r="M96" i="30"/>
  <c r="L96" i="30"/>
  <c r="N81" i="30"/>
  <c r="M81" i="30"/>
  <c r="L81" i="30"/>
  <c r="N68" i="30"/>
  <c r="M68" i="30"/>
  <c r="L68" i="30"/>
  <c r="N55" i="30"/>
  <c r="M55" i="30"/>
  <c r="L55" i="30"/>
  <c r="N37" i="30"/>
  <c r="M37" i="30"/>
  <c r="L37" i="30"/>
  <c r="N24" i="30"/>
  <c r="M24" i="30"/>
  <c r="L24" i="30"/>
  <c r="N11" i="30"/>
  <c r="M11" i="30"/>
  <c r="L11" i="30"/>
  <c r="M58" i="13" l="1"/>
  <c r="G183" i="30" s="1"/>
  <c r="M46" i="16"/>
  <c r="E294" i="30"/>
  <c r="E268" i="30"/>
  <c r="M59" i="13"/>
  <c r="F209" i="30"/>
  <c r="M30" i="13"/>
  <c r="G122" i="30" s="1"/>
  <c r="M31" i="13"/>
  <c r="F96" i="30"/>
  <c r="E11" i="30"/>
  <c r="E183" i="30"/>
  <c r="F183" i="30"/>
  <c r="E96" i="30"/>
  <c r="F11" i="30"/>
  <c r="E228" i="30"/>
  <c r="E141" i="30"/>
  <c r="F228" i="30"/>
  <c r="F141" i="30"/>
  <c r="M45" i="13"/>
  <c r="E37" i="30"/>
  <c r="F109" i="30"/>
  <c r="F24" i="30"/>
  <c r="E109" i="30"/>
  <c r="E55" i="30"/>
  <c r="E122" i="30"/>
  <c r="F37" i="30"/>
  <c r="E209" i="30"/>
  <c r="M45" i="16"/>
  <c r="G307" i="30" s="1"/>
  <c r="G11" i="30"/>
  <c r="G96" i="30"/>
  <c r="G141" i="30"/>
  <c r="G55" i="30"/>
  <c r="G228" i="30"/>
  <c r="M44" i="13"/>
  <c r="E196" i="30"/>
  <c r="M30" i="16"/>
  <c r="F281" i="30"/>
  <c r="F294" i="30"/>
  <c r="E281" i="30"/>
  <c r="G37" i="30" l="1"/>
  <c r="G209" i="30"/>
  <c r="G294" i="30"/>
  <c r="G268" i="30"/>
  <c r="G281" i="30"/>
  <c r="G196" i="30"/>
  <c r="G109" i="30"/>
  <c r="G24" i="30"/>
  <c r="C43" i="37" l="1"/>
  <c r="Q45" i="37" s="1"/>
  <c r="C29" i="37"/>
  <c r="E26" i="16"/>
  <c r="T28" i="16" s="1"/>
  <c r="M266" i="30" s="1"/>
  <c r="J388" i="31"/>
  <c r="I388" i="31"/>
  <c r="K388" i="31" s="1"/>
  <c r="J387" i="31"/>
  <c r="K387" i="31" s="1"/>
  <c r="J386" i="31"/>
  <c r="K386" i="31" s="1"/>
  <c r="J385" i="31"/>
  <c r="K385" i="31" s="1"/>
  <c r="J383" i="31"/>
  <c r="J389" i="31" s="1"/>
  <c r="I383" i="31"/>
  <c r="K383" i="31" s="1"/>
  <c r="K389" i="31" s="1"/>
  <c r="K390" i="31" s="1"/>
  <c r="H383" i="31"/>
  <c r="D380" i="31"/>
  <c r="J375" i="31"/>
  <c r="I375" i="31"/>
  <c r="H375" i="31" s="1"/>
  <c r="J374" i="31"/>
  <c r="K374" i="31" s="1"/>
  <c r="J373" i="31"/>
  <c r="K373" i="31" s="1"/>
  <c r="J372" i="31"/>
  <c r="K372" i="31" s="1"/>
  <c r="J370" i="31"/>
  <c r="J376" i="31" s="1"/>
  <c r="I370" i="31"/>
  <c r="I376" i="31" s="1"/>
  <c r="H370" i="31"/>
  <c r="D367" i="31"/>
  <c r="J362" i="31"/>
  <c r="I362" i="31"/>
  <c r="H362" i="31" s="1"/>
  <c r="J361" i="31"/>
  <c r="K361" i="31" s="1"/>
  <c r="J360" i="31"/>
  <c r="K360" i="31" s="1"/>
  <c r="J359" i="31"/>
  <c r="K359" i="31" s="1"/>
  <c r="K357" i="31"/>
  <c r="J357" i="31"/>
  <c r="I357" i="31"/>
  <c r="H357" i="31"/>
  <c r="D354" i="31"/>
  <c r="J348" i="31"/>
  <c r="I348" i="31"/>
  <c r="H348" i="31" s="1"/>
  <c r="J347" i="31"/>
  <c r="K347" i="31" s="1"/>
  <c r="J346" i="31"/>
  <c r="K346" i="31" s="1"/>
  <c r="J345" i="31"/>
  <c r="K345" i="31" s="1"/>
  <c r="J343" i="31"/>
  <c r="J349" i="31" s="1"/>
  <c r="I343" i="31"/>
  <c r="K343" i="31" s="1"/>
  <c r="K349" i="31" s="1"/>
  <c r="K350" i="31" s="1"/>
  <c r="H343" i="31"/>
  <c r="D340" i="31"/>
  <c r="J335" i="31"/>
  <c r="I335" i="31"/>
  <c r="H335" i="31" s="1"/>
  <c r="J334" i="31"/>
  <c r="K334" i="31" s="1"/>
  <c r="J333" i="31"/>
  <c r="K333" i="31" s="1"/>
  <c r="J332" i="31"/>
  <c r="K332" i="31" s="1"/>
  <c r="J330" i="31"/>
  <c r="J336" i="31" s="1"/>
  <c r="I330" i="31"/>
  <c r="I336" i="31" s="1"/>
  <c r="H330" i="31"/>
  <c r="D327" i="31"/>
  <c r="J322" i="31"/>
  <c r="I322" i="31"/>
  <c r="K322" i="31" s="1"/>
  <c r="J321" i="31"/>
  <c r="K321" i="31" s="1"/>
  <c r="J320" i="31"/>
  <c r="K320" i="31" s="1"/>
  <c r="J319" i="31"/>
  <c r="K319" i="31" s="1"/>
  <c r="J317" i="31"/>
  <c r="J323" i="31" s="1"/>
  <c r="I317" i="31"/>
  <c r="I323" i="31" s="1"/>
  <c r="H317" i="31"/>
  <c r="D314" i="31"/>
  <c r="J308" i="31"/>
  <c r="I308" i="31"/>
  <c r="H308" i="31" s="1"/>
  <c r="J307" i="31"/>
  <c r="K307" i="31" s="1"/>
  <c r="J306" i="31"/>
  <c r="K306" i="31" s="1"/>
  <c r="J305" i="31"/>
  <c r="K305" i="31" s="1"/>
  <c r="J303" i="31"/>
  <c r="J309" i="31" s="1"/>
  <c r="I303" i="31"/>
  <c r="H303" i="31"/>
  <c r="D300" i="31"/>
  <c r="J295" i="31"/>
  <c r="I295" i="31"/>
  <c r="H295" i="31" s="1"/>
  <c r="J294" i="31"/>
  <c r="K294" i="31" s="1"/>
  <c r="J293" i="31"/>
  <c r="K293" i="31" s="1"/>
  <c r="J292" i="31"/>
  <c r="K292" i="31" s="1"/>
  <c r="J290" i="31"/>
  <c r="J296" i="31" s="1"/>
  <c r="I290" i="31"/>
  <c r="K290" i="31" s="1"/>
  <c r="K296" i="31" s="1"/>
  <c r="K297" i="31" s="1"/>
  <c r="H290" i="31"/>
  <c r="D287" i="31"/>
  <c r="J282" i="31"/>
  <c r="I282" i="31"/>
  <c r="K282" i="31" s="1"/>
  <c r="J281" i="31"/>
  <c r="K281" i="31" s="1"/>
  <c r="J280" i="31"/>
  <c r="K280" i="31" s="1"/>
  <c r="J279" i="31"/>
  <c r="K279" i="31" s="1"/>
  <c r="J277" i="31"/>
  <c r="J283" i="31" s="1"/>
  <c r="I277" i="31"/>
  <c r="H277" i="31"/>
  <c r="D274" i="31"/>
  <c r="J268" i="31"/>
  <c r="I268" i="31"/>
  <c r="H268" i="31" s="1"/>
  <c r="J267" i="31"/>
  <c r="K267" i="31" s="1"/>
  <c r="J266" i="31"/>
  <c r="K266" i="31" s="1"/>
  <c r="J265" i="31"/>
  <c r="K265" i="31" s="1"/>
  <c r="J263" i="31"/>
  <c r="J269" i="31" s="1"/>
  <c r="I263" i="31"/>
  <c r="K263" i="31" s="1"/>
  <c r="K269" i="31" s="1"/>
  <c r="K270" i="31" s="1"/>
  <c r="H263" i="31"/>
  <c r="D260" i="31"/>
  <c r="J255" i="31"/>
  <c r="I255" i="31"/>
  <c r="K255" i="31" s="1"/>
  <c r="J254" i="31"/>
  <c r="K254" i="31" s="1"/>
  <c r="J253" i="31"/>
  <c r="K253" i="31" s="1"/>
  <c r="J252" i="31"/>
  <c r="K252" i="31" s="1"/>
  <c r="J250" i="31"/>
  <c r="J256" i="31" s="1"/>
  <c r="I250" i="31"/>
  <c r="K250" i="31" s="1"/>
  <c r="K256" i="31" s="1"/>
  <c r="K257" i="31" s="1"/>
  <c r="H250" i="31"/>
  <c r="D247" i="31"/>
  <c r="J242" i="31"/>
  <c r="I242" i="31"/>
  <c r="K242" i="31" s="1"/>
  <c r="J241" i="31"/>
  <c r="K241" i="31" s="1"/>
  <c r="J240" i="31"/>
  <c r="K240" i="31" s="1"/>
  <c r="J239" i="31"/>
  <c r="K239" i="31" s="1"/>
  <c r="J237" i="31"/>
  <c r="J243" i="31" s="1"/>
  <c r="I237" i="31"/>
  <c r="I243" i="31" s="1"/>
  <c r="H237" i="31"/>
  <c r="D234" i="31"/>
  <c r="J228" i="31"/>
  <c r="I228" i="31"/>
  <c r="K228" i="31" s="1"/>
  <c r="J227" i="31"/>
  <c r="K227" i="31" s="1"/>
  <c r="J226" i="31"/>
  <c r="K226" i="31" s="1"/>
  <c r="J225" i="31"/>
  <c r="K225" i="31" s="1"/>
  <c r="J223" i="31"/>
  <c r="J229" i="31" s="1"/>
  <c r="I223" i="31"/>
  <c r="K223" i="31" s="1"/>
  <c r="K229" i="31" s="1"/>
  <c r="K230" i="31" s="1"/>
  <c r="H223" i="31"/>
  <c r="D220" i="31"/>
  <c r="J215" i="31"/>
  <c r="I215" i="31"/>
  <c r="K215" i="31" s="1"/>
  <c r="J214" i="31"/>
  <c r="K214" i="31" s="1"/>
  <c r="J213" i="31"/>
  <c r="K213" i="31" s="1"/>
  <c r="J212" i="31"/>
  <c r="K212" i="31" s="1"/>
  <c r="J210" i="31"/>
  <c r="J216" i="31" s="1"/>
  <c r="I210" i="31"/>
  <c r="K210" i="31" s="1"/>
  <c r="K216" i="31" s="1"/>
  <c r="K217" i="31" s="1"/>
  <c r="H210" i="31"/>
  <c r="D207" i="31"/>
  <c r="J202" i="31"/>
  <c r="I202" i="31"/>
  <c r="H202" i="31" s="1"/>
  <c r="J201" i="31"/>
  <c r="K201" i="31" s="1"/>
  <c r="J200" i="31"/>
  <c r="K200" i="31" s="1"/>
  <c r="J199" i="31"/>
  <c r="K199" i="31" s="1"/>
  <c r="J197" i="31"/>
  <c r="J203" i="31" s="1"/>
  <c r="I197" i="31"/>
  <c r="I203" i="31" s="1"/>
  <c r="H197" i="31"/>
  <c r="D194" i="31"/>
  <c r="AD192" i="31"/>
  <c r="AA192" i="31"/>
  <c r="X192" i="31"/>
  <c r="AD191" i="31"/>
  <c r="AA191" i="31"/>
  <c r="X191" i="31"/>
  <c r="AD190" i="31"/>
  <c r="AA190" i="31"/>
  <c r="X190" i="31"/>
  <c r="J180" i="31"/>
  <c r="I180" i="31"/>
  <c r="K180" i="31" s="1"/>
  <c r="J177" i="31"/>
  <c r="K177" i="31" s="1"/>
  <c r="J175" i="31"/>
  <c r="J181" i="31" s="1"/>
  <c r="I175" i="31"/>
  <c r="I181" i="31" s="1"/>
  <c r="H175" i="31"/>
  <c r="J168" i="31"/>
  <c r="I168" i="31"/>
  <c r="J165" i="31"/>
  <c r="K165" i="31" s="1"/>
  <c r="J163" i="31"/>
  <c r="J169" i="31" s="1"/>
  <c r="I163" i="31"/>
  <c r="I169" i="31" s="1"/>
  <c r="H163" i="31"/>
  <c r="J156" i="31"/>
  <c r="I156" i="31"/>
  <c r="K156" i="31" s="1"/>
  <c r="J153" i="31"/>
  <c r="K153" i="31" s="1"/>
  <c r="J151" i="31"/>
  <c r="J157" i="31" s="1"/>
  <c r="I151" i="31"/>
  <c r="K151" i="31" s="1"/>
  <c r="K157" i="31" s="1"/>
  <c r="K158" i="31" s="1"/>
  <c r="H151" i="31"/>
  <c r="K143" i="31"/>
  <c r="J112" i="31"/>
  <c r="I112" i="31"/>
  <c r="K112" i="31" s="1"/>
  <c r="J109" i="31"/>
  <c r="K109" i="31" s="1"/>
  <c r="K107" i="31"/>
  <c r="J107" i="31"/>
  <c r="I107" i="31"/>
  <c r="H107" i="31"/>
  <c r="J100" i="31"/>
  <c r="I100" i="31"/>
  <c r="K100" i="31" s="1"/>
  <c r="J97" i="31"/>
  <c r="K97" i="31" s="1"/>
  <c r="J95" i="31"/>
  <c r="J101" i="31" s="1"/>
  <c r="I95" i="31"/>
  <c r="I101" i="31" s="1"/>
  <c r="H95" i="31"/>
  <c r="J88" i="31"/>
  <c r="I88" i="31"/>
  <c r="K88" i="31" s="1"/>
  <c r="J85" i="31"/>
  <c r="K85" i="31" s="1"/>
  <c r="J83" i="31"/>
  <c r="J89" i="31" s="1"/>
  <c r="I83" i="31"/>
  <c r="K83" i="31" s="1"/>
  <c r="K89" i="31" s="1"/>
  <c r="K90" i="31" s="1"/>
  <c r="H83" i="31"/>
  <c r="E74" i="31"/>
  <c r="N73" i="31"/>
  <c r="M73" i="31"/>
  <c r="L73" i="31"/>
  <c r="F73" i="31"/>
  <c r="F74" i="31" s="1"/>
  <c r="N72" i="31"/>
  <c r="M72" i="31"/>
  <c r="N71" i="31"/>
  <c r="M71" i="31"/>
  <c r="N70" i="31"/>
  <c r="N74" i="31" s="1"/>
  <c r="M70" i="31"/>
  <c r="M74" i="31" s="1"/>
  <c r="L70" i="31"/>
  <c r="L74" i="31" s="1"/>
  <c r="E64" i="31"/>
  <c r="N63" i="31"/>
  <c r="M63" i="31"/>
  <c r="L63" i="31"/>
  <c r="F63" i="31"/>
  <c r="F64" i="31" s="1"/>
  <c r="N62" i="31"/>
  <c r="M62" i="31"/>
  <c r="N61" i="31"/>
  <c r="M61" i="31"/>
  <c r="N60" i="31"/>
  <c r="N64" i="31" s="1"/>
  <c r="M60" i="31"/>
  <c r="M64" i="31" s="1"/>
  <c r="L60" i="31"/>
  <c r="L64" i="31" s="1"/>
  <c r="E55" i="31"/>
  <c r="F54" i="31"/>
  <c r="F55" i="31" s="1"/>
  <c r="N53" i="31"/>
  <c r="M53" i="31"/>
  <c r="J38" i="31"/>
  <c r="I38" i="31"/>
  <c r="K38" i="31" s="1"/>
  <c r="J35" i="31"/>
  <c r="K35" i="31" s="1"/>
  <c r="J33" i="31"/>
  <c r="J39" i="31" s="1"/>
  <c r="I33" i="31"/>
  <c r="I39" i="31" s="1"/>
  <c r="H33" i="31"/>
  <c r="D30" i="31"/>
  <c r="J26" i="31"/>
  <c r="I26" i="31"/>
  <c r="K26" i="31" s="1"/>
  <c r="J23" i="31"/>
  <c r="K23" i="31" s="1"/>
  <c r="J21" i="31"/>
  <c r="J27" i="31" s="1"/>
  <c r="I21" i="31"/>
  <c r="K21" i="31" s="1"/>
  <c r="K27" i="31" s="1"/>
  <c r="K28" i="31" s="1"/>
  <c r="H21" i="31"/>
  <c r="D18" i="31"/>
  <c r="J14" i="31"/>
  <c r="M54" i="31" s="1"/>
  <c r="I14" i="31"/>
  <c r="K14" i="31" s="1"/>
  <c r="N54" i="31" s="1"/>
  <c r="J11" i="31"/>
  <c r="M52" i="31" s="1"/>
  <c r="J9" i="31"/>
  <c r="M50" i="31" s="1"/>
  <c r="M55" i="31" s="1"/>
  <c r="I9" i="31"/>
  <c r="I15" i="31" s="1"/>
  <c r="H9" i="31"/>
  <c r="D6" i="31"/>
  <c r="J335" i="30"/>
  <c r="I335" i="30"/>
  <c r="K335" i="30" s="1"/>
  <c r="J334" i="30"/>
  <c r="K334" i="30" s="1"/>
  <c r="J333" i="30"/>
  <c r="K333" i="30" s="1"/>
  <c r="G333" i="30"/>
  <c r="F333" i="30"/>
  <c r="E333" i="30"/>
  <c r="J332" i="30"/>
  <c r="K332" i="30" s="1"/>
  <c r="J330" i="30"/>
  <c r="J336" i="30" s="1"/>
  <c r="I330" i="30"/>
  <c r="I336" i="30" s="1"/>
  <c r="H330" i="30"/>
  <c r="D327" i="30"/>
  <c r="J322" i="30"/>
  <c r="I322" i="30"/>
  <c r="K322" i="30" s="1"/>
  <c r="J321" i="30"/>
  <c r="K321" i="30" s="1"/>
  <c r="J320" i="30"/>
  <c r="K320" i="30" s="1"/>
  <c r="G320" i="30"/>
  <c r="F320" i="30"/>
  <c r="E320" i="30"/>
  <c r="J319" i="30"/>
  <c r="K319" i="30" s="1"/>
  <c r="J317" i="30"/>
  <c r="J323" i="30" s="1"/>
  <c r="I317" i="30"/>
  <c r="I323" i="30" s="1"/>
  <c r="H317" i="30"/>
  <c r="D314" i="30"/>
  <c r="J309" i="30"/>
  <c r="I309" i="30"/>
  <c r="I310" i="30" s="1"/>
  <c r="J308" i="30"/>
  <c r="K308" i="30" s="1"/>
  <c r="J307" i="30"/>
  <c r="K307" i="30" s="1"/>
  <c r="J306" i="30"/>
  <c r="J310" i="30" s="1"/>
  <c r="D301" i="30"/>
  <c r="J296" i="30"/>
  <c r="I296" i="30"/>
  <c r="K296" i="30" s="1"/>
  <c r="J295" i="30"/>
  <c r="K295" i="30" s="1"/>
  <c r="J294" i="30"/>
  <c r="K294" i="30" s="1"/>
  <c r="J293" i="30"/>
  <c r="K293" i="30" s="1"/>
  <c r="J291" i="30"/>
  <c r="J297" i="30" s="1"/>
  <c r="I291" i="30"/>
  <c r="K291" i="30" s="1"/>
  <c r="K297" i="30" s="1"/>
  <c r="K298" i="30" s="1"/>
  <c r="H291" i="30"/>
  <c r="D288" i="30"/>
  <c r="J283" i="30"/>
  <c r="I283" i="30"/>
  <c r="K283" i="30" s="1"/>
  <c r="J282" i="30"/>
  <c r="K282" i="30" s="1"/>
  <c r="J281" i="30"/>
  <c r="K281" i="30" s="1"/>
  <c r="J280" i="30"/>
  <c r="K280" i="30" s="1"/>
  <c r="J278" i="30"/>
  <c r="J284" i="30" s="1"/>
  <c r="I278" i="30"/>
  <c r="I284" i="30" s="1"/>
  <c r="H278" i="30"/>
  <c r="D275" i="30"/>
  <c r="J270" i="30"/>
  <c r="I270" i="30"/>
  <c r="K270" i="30" s="1"/>
  <c r="J269" i="30"/>
  <c r="K269" i="30" s="1"/>
  <c r="J268" i="30"/>
  <c r="K268" i="30" s="1"/>
  <c r="J267" i="30"/>
  <c r="K267" i="30" s="1"/>
  <c r="J265" i="30"/>
  <c r="J271" i="30" s="1"/>
  <c r="I265" i="30"/>
  <c r="K265" i="30" s="1"/>
  <c r="K271" i="30" s="1"/>
  <c r="K272" i="30" s="1"/>
  <c r="H265" i="30"/>
  <c r="D262" i="30"/>
  <c r="J256" i="30"/>
  <c r="I256" i="30"/>
  <c r="J255" i="30"/>
  <c r="K255" i="30" s="1"/>
  <c r="J254" i="30"/>
  <c r="K254" i="30" s="1"/>
  <c r="J253" i="30"/>
  <c r="K253" i="30" s="1"/>
  <c r="J251" i="30"/>
  <c r="J257" i="30" s="1"/>
  <c r="I251" i="30"/>
  <c r="I257" i="30" s="1"/>
  <c r="H251" i="30"/>
  <c r="J243" i="30"/>
  <c r="I243" i="30"/>
  <c r="J242" i="30"/>
  <c r="K242" i="30" s="1"/>
  <c r="J241" i="30"/>
  <c r="K241" i="30" s="1"/>
  <c r="J240" i="30"/>
  <c r="K240" i="30" s="1"/>
  <c r="J238" i="30"/>
  <c r="J244" i="30" s="1"/>
  <c r="I238" i="30"/>
  <c r="K238" i="30" s="1"/>
  <c r="K244" i="30" s="1"/>
  <c r="K245" i="30" s="1"/>
  <c r="H238" i="30"/>
  <c r="K232" i="30"/>
  <c r="J211" i="30"/>
  <c r="I211" i="30"/>
  <c r="K211" i="30" s="1"/>
  <c r="J210" i="30"/>
  <c r="K210" i="30" s="1"/>
  <c r="J209" i="30"/>
  <c r="K209" i="30" s="1"/>
  <c r="J208" i="30"/>
  <c r="K208" i="30" s="1"/>
  <c r="K206" i="30"/>
  <c r="J206" i="30"/>
  <c r="I206" i="30"/>
  <c r="H206" i="30"/>
  <c r="J198" i="30"/>
  <c r="I198" i="30"/>
  <c r="J197" i="30"/>
  <c r="K197" i="30" s="1"/>
  <c r="J196" i="30"/>
  <c r="K196" i="30" s="1"/>
  <c r="J195" i="30"/>
  <c r="K195" i="30" s="1"/>
  <c r="J193" i="30"/>
  <c r="J199" i="30" s="1"/>
  <c r="I193" i="30"/>
  <c r="I199" i="30" s="1"/>
  <c r="H193" i="30"/>
  <c r="J185" i="30"/>
  <c r="I185" i="30"/>
  <c r="K185" i="30" s="1"/>
  <c r="J184" i="30"/>
  <c r="K184" i="30" s="1"/>
  <c r="J183" i="30"/>
  <c r="K183" i="30" s="1"/>
  <c r="J182" i="30"/>
  <c r="K182" i="30" s="1"/>
  <c r="J180" i="30"/>
  <c r="J186" i="30" s="1"/>
  <c r="I180" i="30"/>
  <c r="I186" i="30" s="1"/>
  <c r="H180" i="30"/>
  <c r="J169" i="30"/>
  <c r="I169" i="30"/>
  <c r="K169" i="30" s="1"/>
  <c r="J168" i="30"/>
  <c r="K168" i="30" s="1"/>
  <c r="J167" i="30"/>
  <c r="K167" i="30" s="1"/>
  <c r="J166" i="30"/>
  <c r="K166" i="30" s="1"/>
  <c r="J164" i="30"/>
  <c r="J170" i="30" s="1"/>
  <c r="I164" i="30"/>
  <c r="K164" i="30" s="1"/>
  <c r="K170" i="30" s="1"/>
  <c r="K171" i="30" s="1"/>
  <c r="H164" i="30"/>
  <c r="J156" i="30"/>
  <c r="I156" i="30"/>
  <c r="K156" i="30" s="1"/>
  <c r="J155" i="30"/>
  <c r="K155" i="30" s="1"/>
  <c r="J154" i="30"/>
  <c r="K154" i="30" s="1"/>
  <c r="J153" i="30"/>
  <c r="K153" i="30" s="1"/>
  <c r="J151" i="30"/>
  <c r="J157" i="30" s="1"/>
  <c r="I151" i="30"/>
  <c r="I157" i="30" s="1"/>
  <c r="H151" i="30"/>
  <c r="K145" i="30"/>
  <c r="J124" i="30"/>
  <c r="I124" i="30"/>
  <c r="K124" i="30" s="1"/>
  <c r="J123" i="30"/>
  <c r="K123" i="30" s="1"/>
  <c r="J122" i="30"/>
  <c r="K122" i="30" s="1"/>
  <c r="J121" i="30"/>
  <c r="K121" i="30" s="1"/>
  <c r="K119" i="30"/>
  <c r="J119" i="30"/>
  <c r="I119" i="30"/>
  <c r="H119" i="30"/>
  <c r="J111" i="30"/>
  <c r="I111" i="30"/>
  <c r="J110" i="30"/>
  <c r="K110" i="30" s="1"/>
  <c r="J109" i="30"/>
  <c r="K109" i="30" s="1"/>
  <c r="J108" i="30"/>
  <c r="K108" i="30" s="1"/>
  <c r="J106" i="30"/>
  <c r="J112" i="30" s="1"/>
  <c r="I106" i="30"/>
  <c r="I112" i="30" s="1"/>
  <c r="H106" i="30"/>
  <c r="J98" i="30"/>
  <c r="I98" i="30"/>
  <c r="H98" i="30" s="1"/>
  <c r="J97" i="30"/>
  <c r="K97" i="30" s="1"/>
  <c r="J96" i="30"/>
  <c r="K96" i="30" s="1"/>
  <c r="J95" i="30"/>
  <c r="K95" i="30" s="1"/>
  <c r="G94" i="30"/>
  <c r="F94" i="30"/>
  <c r="E94" i="30"/>
  <c r="J93" i="30"/>
  <c r="J99" i="30" s="1"/>
  <c r="I93" i="30"/>
  <c r="I99" i="30" s="1"/>
  <c r="H93" i="30"/>
  <c r="J83" i="30"/>
  <c r="I83" i="30"/>
  <c r="K83" i="30" s="1"/>
  <c r="J82" i="30"/>
  <c r="K82" i="30" s="1"/>
  <c r="J81" i="30"/>
  <c r="K81" i="30" s="1"/>
  <c r="J80" i="30"/>
  <c r="K80" i="30" s="1"/>
  <c r="J78" i="30"/>
  <c r="J84" i="30" s="1"/>
  <c r="I78" i="30"/>
  <c r="H78" i="30"/>
  <c r="J70" i="30"/>
  <c r="I70" i="30"/>
  <c r="K70" i="30" s="1"/>
  <c r="J69" i="30"/>
  <c r="K69" i="30" s="1"/>
  <c r="J68" i="30"/>
  <c r="K68" i="30" s="1"/>
  <c r="J67" i="30"/>
  <c r="K67" i="30" s="1"/>
  <c r="J65" i="30"/>
  <c r="J71" i="30" s="1"/>
  <c r="I65" i="30"/>
  <c r="I71" i="30" s="1"/>
  <c r="H65" i="30"/>
  <c r="K59" i="30"/>
  <c r="D50" i="30"/>
  <c r="D49" i="30"/>
  <c r="J39" i="30"/>
  <c r="I39" i="30"/>
  <c r="K39" i="30" s="1"/>
  <c r="J38" i="30"/>
  <c r="K38" i="30" s="1"/>
  <c r="J37" i="30"/>
  <c r="K37" i="30" s="1"/>
  <c r="J36" i="30"/>
  <c r="K36" i="30" s="1"/>
  <c r="J34" i="30"/>
  <c r="J40" i="30" s="1"/>
  <c r="I34" i="30"/>
  <c r="H34" i="30"/>
  <c r="D31" i="30"/>
  <c r="J26" i="30"/>
  <c r="I26" i="30"/>
  <c r="K26" i="30" s="1"/>
  <c r="J25" i="30"/>
  <c r="K25" i="30" s="1"/>
  <c r="J24" i="30"/>
  <c r="K24" i="30" s="1"/>
  <c r="J23" i="30"/>
  <c r="K23" i="30" s="1"/>
  <c r="J21" i="30"/>
  <c r="J27" i="30" s="1"/>
  <c r="I21" i="30"/>
  <c r="I27" i="30" s="1"/>
  <c r="H21" i="30"/>
  <c r="D18" i="30"/>
  <c r="J13" i="30"/>
  <c r="I13" i="30"/>
  <c r="H13" i="30" s="1"/>
  <c r="J12" i="30"/>
  <c r="K12" i="30" s="1"/>
  <c r="J11" i="30"/>
  <c r="K11" i="30" s="1"/>
  <c r="J10" i="30"/>
  <c r="K10" i="30" s="1"/>
  <c r="J8" i="30"/>
  <c r="J14" i="30" s="1"/>
  <c r="I8" i="30"/>
  <c r="I14" i="30" s="1"/>
  <c r="H8" i="30"/>
  <c r="AH49" i="38"/>
  <c r="M388" i="31" s="1"/>
  <c r="AG49" i="38"/>
  <c r="L388" i="31" s="1"/>
  <c r="Z49" i="38"/>
  <c r="M375" i="31" s="1"/>
  <c r="Y49" i="38"/>
  <c r="R49" i="38"/>
  <c r="M362" i="31" s="1"/>
  <c r="Q49" i="38"/>
  <c r="L362" i="31" s="1"/>
  <c r="J49" i="38"/>
  <c r="I49" i="38"/>
  <c r="K49" i="38" s="1"/>
  <c r="AH48" i="38"/>
  <c r="M386" i="31" s="1"/>
  <c r="AG48" i="38"/>
  <c r="Z48" i="38"/>
  <c r="M373" i="31" s="1"/>
  <c r="Y48" i="38"/>
  <c r="L373" i="31" s="1"/>
  <c r="R48" i="38"/>
  <c r="M360" i="31" s="1"/>
  <c r="Q48" i="38"/>
  <c r="L360" i="31" s="1"/>
  <c r="J48" i="38"/>
  <c r="I48" i="38"/>
  <c r="AH47" i="38"/>
  <c r="AG47" i="38"/>
  <c r="L385" i="31" s="1"/>
  <c r="Z47" i="38"/>
  <c r="M372" i="31" s="1"/>
  <c r="Y47" i="38"/>
  <c r="L372" i="31" s="1"/>
  <c r="R47" i="38"/>
  <c r="M359" i="31" s="1"/>
  <c r="Q47" i="38"/>
  <c r="L359" i="31" s="1"/>
  <c r="J47" i="38"/>
  <c r="I47" i="38"/>
  <c r="J46" i="38"/>
  <c r="I46" i="38"/>
  <c r="AH45" i="38"/>
  <c r="AF45" i="38"/>
  <c r="Z45" i="38"/>
  <c r="M370" i="31" s="1"/>
  <c r="Y45" i="38"/>
  <c r="L370" i="31" s="1"/>
  <c r="R45" i="38"/>
  <c r="P45" i="38"/>
  <c r="Q45" i="38" s="1"/>
  <c r="J45" i="38"/>
  <c r="H45" i="38"/>
  <c r="I45" i="38" s="1"/>
  <c r="C44" i="38"/>
  <c r="R46" i="38" s="1"/>
  <c r="AH35" i="38"/>
  <c r="AG35" i="38"/>
  <c r="L348" i="31" s="1"/>
  <c r="Z35" i="38"/>
  <c r="M335" i="31" s="1"/>
  <c r="Y35" i="38"/>
  <c r="R35" i="38"/>
  <c r="M322" i="31" s="1"/>
  <c r="Q35" i="38"/>
  <c r="L322" i="31" s="1"/>
  <c r="J35" i="38"/>
  <c r="I35" i="38"/>
  <c r="AH34" i="38"/>
  <c r="M346" i="31" s="1"/>
  <c r="AG34" i="38"/>
  <c r="Z34" i="38"/>
  <c r="M333" i="31" s="1"/>
  <c r="Y34" i="38"/>
  <c r="L333" i="31" s="1"/>
  <c r="R34" i="38"/>
  <c r="M320" i="31" s="1"/>
  <c r="Q34" i="38"/>
  <c r="L320" i="31" s="1"/>
  <c r="J34" i="38"/>
  <c r="I34" i="38"/>
  <c r="AH33" i="38"/>
  <c r="M345" i="31" s="1"/>
  <c r="AG33" i="38"/>
  <c r="L345" i="31" s="1"/>
  <c r="Z33" i="38"/>
  <c r="M332" i="31" s="1"/>
  <c r="Y33" i="38"/>
  <c r="L332" i="31" s="1"/>
  <c r="R33" i="38"/>
  <c r="Q33" i="38"/>
  <c r="L319" i="31" s="1"/>
  <c r="J33" i="38"/>
  <c r="I33" i="38"/>
  <c r="J32" i="38"/>
  <c r="I32" i="38"/>
  <c r="AH31" i="38"/>
  <c r="AF31" i="38"/>
  <c r="Z31" i="38"/>
  <c r="M330" i="31" s="1"/>
  <c r="Y31" i="38"/>
  <c r="R31" i="38"/>
  <c r="P31" i="38"/>
  <c r="J31" i="38"/>
  <c r="H31" i="38"/>
  <c r="I31" i="38" s="1"/>
  <c r="C30" i="38"/>
  <c r="R32" i="38" s="1"/>
  <c r="M318" i="31" s="1"/>
  <c r="AH48" i="37"/>
  <c r="M308" i="31" s="1"/>
  <c r="AG48" i="37"/>
  <c r="L308" i="31" s="1"/>
  <c r="Z48" i="37"/>
  <c r="M295" i="31" s="1"/>
  <c r="Y48" i="37"/>
  <c r="R48" i="37"/>
  <c r="M282" i="31" s="1"/>
  <c r="Q48" i="37"/>
  <c r="J48" i="37"/>
  <c r="I48" i="37"/>
  <c r="AH47" i="37"/>
  <c r="M306" i="31" s="1"/>
  <c r="AG47" i="37"/>
  <c r="L306" i="31" s="1"/>
  <c r="Z47" i="37"/>
  <c r="M293" i="31" s="1"/>
  <c r="Y47" i="37"/>
  <c r="R47" i="37"/>
  <c r="M280" i="31" s="1"/>
  <c r="Q47" i="37"/>
  <c r="J47" i="37"/>
  <c r="AH46" i="37"/>
  <c r="M305" i="31" s="1"/>
  <c r="AG46" i="37"/>
  <c r="Z46" i="37"/>
  <c r="M292" i="31" s="1"/>
  <c r="Y46" i="37"/>
  <c r="R46" i="37"/>
  <c r="M279" i="31" s="1"/>
  <c r="Q46" i="37"/>
  <c r="L279" i="31" s="1"/>
  <c r="J46" i="37"/>
  <c r="I46" i="37"/>
  <c r="J45" i="37"/>
  <c r="I45" i="37"/>
  <c r="AH44" i="37"/>
  <c r="AF44" i="37"/>
  <c r="Z44" i="37"/>
  <c r="Y44" i="37"/>
  <c r="R44" i="37"/>
  <c r="P44" i="37"/>
  <c r="J44" i="37"/>
  <c r="H44" i="37"/>
  <c r="AH34" i="37"/>
  <c r="M268" i="31" s="1"/>
  <c r="AG34" i="37"/>
  <c r="L268" i="31" s="1"/>
  <c r="Z34" i="37"/>
  <c r="M255" i="31" s="1"/>
  <c r="Y34" i="37"/>
  <c r="L255" i="31" s="1"/>
  <c r="R34" i="37"/>
  <c r="M242" i="31" s="1"/>
  <c r="Q34" i="37"/>
  <c r="L242" i="31" s="1"/>
  <c r="J34" i="37"/>
  <c r="I34" i="37"/>
  <c r="K34" i="37" s="1"/>
  <c r="AH33" i="37"/>
  <c r="M266" i="31" s="1"/>
  <c r="AG33" i="37"/>
  <c r="L266" i="31" s="1"/>
  <c r="Z33" i="37"/>
  <c r="M253" i="31" s="1"/>
  <c r="Y33" i="37"/>
  <c r="L253" i="31" s="1"/>
  <c r="R33" i="37"/>
  <c r="M240" i="31" s="1"/>
  <c r="Q33" i="37"/>
  <c r="L240" i="31" s="1"/>
  <c r="J33" i="37"/>
  <c r="I33" i="37"/>
  <c r="AH32" i="37"/>
  <c r="M265" i="31" s="1"/>
  <c r="AG32" i="37"/>
  <c r="L265" i="31" s="1"/>
  <c r="Z32" i="37"/>
  <c r="M252" i="31" s="1"/>
  <c r="Y32" i="37"/>
  <c r="L252" i="31" s="1"/>
  <c r="R32" i="37"/>
  <c r="M239" i="31" s="1"/>
  <c r="Q32" i="37"/>
  <c r="L239" i="31" s="1"/>
  <c r="J32" i="37"/>
  <c r="I32" i="37"/>
  <c r="J31" i="37"/>
  <c r="I31" i="37"/>
  <c r="AH30" i="37"/>
  <c r="AF30" i="37"/>
  <c r="Z30" i="37"/>
  <c r="M250" i="31" s="1"/>
  <c r="Y30" i="37"/>
  <c r="R30" i="37"/>
  <c r="P30" i="37"/>
  <c r="J30" i="37"/>
  <c r="H30" i="37"/>
  <c r="G73" i="20"/>
  <c r="G63" i="20"/>
  <c r="AK53" i="20"/>
  <c r="M180" i="31" s="1"/>
  <c r="AJ53" i="20"/>
  <c r="AC53" i="20"/>
  <c r="M112" i="31" s="1"/>
  <c r="AB53" i="20"/>
  <c r="U53" i="20"/>
  <c r="M38" i="31" s="1"/>
  <c r="T53" i="20"/>
  <c r="L38" i="31" s="1"/>
  <c r="M53" i="20"/>
  <c r="L53" i="20"/>
  <c r="AK52" i="20"/>
  <c r="M179" i="31" s="1"/>
  <c r="AJ52" i="20"/>
  <c r="AC52" i="20"/>
  <c r="M111" i="31" s="1"/>
  <c r="AB52" i="20"/>
  <c r="L111" i="31" s="1"/>
  <c r="U52" i="20"/>
  <c r="M37" i="31" s="1"/>
  <c r="T52" i="20"/>
  <c r="L37" i="31" s="1"/>
  <c r="AK51" i="20"/>
  <c r="M177" i="31" s="1"/>
  <c r="AJ51" i="20"/>
  <c r="AC51" i="20"/>
  <c r="M109" i="31" s="1"/>
  <c r="AB51" i="20"/>
  <c r="L109" i="31" s="1"/>
  <c r="U51" i="20"/>
  <c r="M35" i="31" s="1"/>
  <c r="T51" i="20"/>
  <c r="L35" i="31" s="1"/>
  <c r="M51" i="20"/>
  <c r="L51" i="20"/>
  <c r="AI49" i="20"/>
  <c r="AC49" i="20"/>
  <c r="M107" i="31" s="1"/>
  <c r="AB49" i="20"/>
  <c r="U49" i="20"/>
  <c r="S49" i="20"/>
  <c r="M49" i="20"/>
  <c r="K49" i="20"/>
  <c r="G48" i="20"/>
  <c r="D31" i="31" s="1"/>
  <c r="AK41" i="20"/>
  <c r="M156" i="31" s="1"/>
  <c r="AJ41" i="20"/>
  <c r="L156" i="31" s="1"/>
  <c r="AC41" i="20"/>
  <c r="M88" i="31" s="1"/>
  <c r="AB41" i="20"/>
  <c r="L88" i="31" s="1"/>
  <c r="U41" i="20"/>
  <c r="M14" i="31" s="1"/>
  <c r="T41" i="20"/>
  <c r="M41" i="20"/>
  <c r="AK40" i="20"/>
  <c r="M155" i="31" s="1"/>
  <c r="AJ40" i="20"/>
  <c r="L155" i="31" s="1"/>
  <c r="AC40" i="20"/>
  <c r="M87" i="31" s="1"/>
  <c r="AB40" i="20"/>
  <c r="U40" i="20"/>
  <c r="M13" i="31" s="1"/>
  <c r="T40" i="20"/>
  <c r="AK39" i="20"/>
  <c r="M153" i="31" s="1"/>
  <c r="AJ39" i="20"/>
  <c r="L153" i="31" s="1"/>
  <c r="AC39" i="20"/>
  <c r="M85" i="31" s="1"/>
  <c r="AB39" i="20"/>
  <c r="U39" i="20"/>
  <c r="M11" i="31" s="1"/>
  <c r="T39" i="20"/>
  <c r="M39" i="20"/>
  <c r="L39" i="20"/>
  <c r="AI37" i="20"/>
  <c r="AC37" i="20"/>
  <c r="M83" i="31" s="1"/>
  <c r="AB37" i="20"/>
  <c r="L83" i="31" s="1"/>
  <c r="U37" i="20"/>
  <c r="S37" i="20"/>
  <c r="M37" i="20"/>
  <c r="K37" i="20"/>
  <c r="L37" i="20" s="1"/>
  <c r="G36" i="20"/>
  <c r="D7" i="31" s="1"/>
  <c r="AK29" i="20"/>
  <c r="M168" i="31" s="1"/>
  <c r="AJ29" i="20"/>
  <c r="AC29" i="20"/>
  <c r="M100" i="31" s="1"/>
  <c r="AB29" i="20"/>
  <c r="U29" i="20"/>
  <c r="M26" i="31" s="1"/>
  <c r="T29" i="20"/>
  <c r="L26" i="31" s="1"/>
  <c r="M29" i="20"/>
  <c r="L29" i="20"/>
  <c r="AK28" i="20"/>
  <c r="M167" i="31" s="1"/>
  <c r="AJ28" i="20"/>
  <c r="AC28" i="20"/>
  <c r="M99" i="31" s="1"/>
  <c r="AB28" i="20"/>
  <c r="L99" i="31" s="1"/>
  <c r="U28" i="20"/>
  <c r="M25" i="31" s="1"/>
  <c r="T28" i="20"/>
  <c r="AK27" i="20"/>
  <c r="M165" i="31" s="1"/>
  <c r="AJ27" i="20"/>
  <c r="AC27" i="20"/>
  <c r="M97" i="31" s="1"/>
  <c r="AB27" i="20"/>
  <c r="L97" i="31" s="1"/>
  <c r="U27" i="20"/>
  <c r="M23" i="31" s="1"/>
  <c r="T27" i="20"/>
  <c r="M27" i="20"/>
  <c r="L27" i="20"/>
  <c r="AI25" i="20"/>
  <c r="AC25" i="20"/>
  <c r="M95" i="31" s="1"/>
  <c r="AB25" i="20"/>
  <c r="U25" i="20"/>
  <c r="S25" i="20"/>
  <c r="G24" i="20"/>
  <c r="D19" i="31" s="1"/>
  <c r="AK31" i="19"/>
  <c r="M228" i="31" s="1"/>
  <c r="AJ31" i="19"/>
  <c r="L228" i="31" s="1"/>
  <c r="AC31" i="19"/>
  <c r="M215" i="31" s="1"/>
  <c r="AB31" i="19"/>
  <c r="L215" i="31" s="1"/>
  <c r="U31" i="19"/>
  <c r="M202" i="31" s="1"/>
  <c r="T31" i="19"/>
  <c r="M31" i="19"/>
  <c r="L31" i="19"/>
  <c r="AK30" i="19"/>
  <c r="M227" i="31" s="1"/>
  <c r="AJ30" i="19"/>
  <c r="L227" i="31" s="1"/>
  <c r="AC30" i="19"/>
  <c r="M214" i="31" s="1"/>
  <c r="AB30" i="19"/>
  <c r="U30" i="19"/>
  <c r="M201" i="31" s="1"/>
  <c r="T30" i="19"/>
  <c r="M30" i="19"/>
  <c r="L30" i="19"/>
  <c r="AK29" i="19"/>
  <c r="M225" i="31" s="1"/>
  <c r="AJ29" i="19"/>
  <c r="AC29" i="19"/>
  <c r="M212" i="31" s="1"/>
  <c r="AB29" i="19"/>
  <c r="U29" i="19"/>
  <c r="M199" i="31" s="1"/>
  <c r="T29" i="19"/>
  <c r="M29" i="19"/>
  <c r="L29" i="19"/>
  <c r="AK27" i="19"/>
  <c r="AI27" i="19"/>
  <c r="AC27" i="19"/>
  <c r="M210" i="31" s="1"/>
  <c r="AB27" i="19"/>
  <c r="L210" i="31" s="1"/>
  <c r="U27" i="19"/>
  <c r="S27" i="19"/>
  <c r="M27" i="19"/>
  <c r="K27" i="19"/>
  <c r="F26" i="19"/>
  <c r="AJ47" i="16"/>
  <c r="M335" i="30" s="1"/>
  <c r="AI47" i="16"/>
  <c r="L335" i="30" s="1"/>
  <c r="AB47" i="16"/>
  <c r="M322" i="30" s="1"/>
  <c r="AA47" i="16"/>
  <c r="L322" i="30" s="1"/>
  <c r="T47" i="16"/>
  <c r="M309" i="30" s="1"/>
  <c r="S47" i="16"/>
  <c r="L47" i="16"/>
  <c r="K47" i="16"/>
  <c r="AJ46" i="16"/>
  <c r="M334" i="30" s="1"/>
  <c r="AI46" i="16"/>
  <c r="L334" i="30" s="1"/>
  <c r="AB46" i="16"/>
  <c r="M321" i="30" s="1"/>
  <c r="AA46" i="16"/>
  <c r="T46" i="16"/>
  <c r="M308" i="30" s="1"/>
  <c r="S46" i="16"/>
  <c r="AJ44" i="16"/>
  <c r="M332" i="30" s="1"/>
  <c r="AI44" i="16"/>
  <c r="L332" i="30" s="1"/>
  <c r="AB44" i="16"/>
  <c r="AA44" i="16"/>
  <c r="L319" i="30" s="1"/>
  <c r="T44" i="16"/>
  <c r="M306" i="30" s="1"/>
  <c r="S44" i="16"/>
  <c r="L306" i="30" s="1"/>
  <c r="L44" i="16"/>
  <c r="K44" i="16"/>
  <c r="AJ42" i="16"/>
  <c r="M330" i="30" s="1"/>
  <c r="AH42" i="16"/>
  <c r="AB42" i="16"/>
  <c r="M317" i="30" s="1"/>
  <c r="AA42" i="16"/>
  <c r="L317" i="30" s="1"/>
  <c r="T42" i="16"/>
  <c r="M304" i="30" s="1"/>
  <c r="R42" i="16"/>
  <c r="L42" i="16"/>
  <c r="J42" i="16"/>
  <c r="K42" i="16" s="1"/>
  <c r="E41" i="16"/>
  <c r="T43" i="16" s="1"/>
  <c r="AJ32" i="16"/>
  <c r="M296" i="30" s="1"/>
  <c r="AI32" i="16"/>
  <c r="AB32" i="16"/>
  <c r="M283" i="30" s="1"/>
  <c r="AA32" i="16"/>
  <c r="L283" i="30" s="1"/>
  <c r="T32" i="16"/>
  <c r="M270" i="30" s="1"/>
  <c r="S32" i="16"/>
  <c r="L270" i="30" s="1"/>
  <c r="L32" i="16"/>
  <c r="K32" i="16"/>
  <c r="AJ31" i="16"/>
  <c r="M295" i="30" s="1"/>
  <c r="AI31" i="16"/>
  <c r="L295" i="30" s="1"/>
  <c r="AB31" i="16"/>
  <c r="M282" i="30" s="1"/>
  <c r="AA31" i="16"/>
  <c r="L282" i="30" s="1"/>
  <c r="T31" i="16"/>
  <c r="M269" i="30" s="1"/>
  <c r="S31" i="16"/>
  <c r="L269" i="30" s="1"/>
  <c r="AJ29" i="16"/>
  <c r="M293" i="30" s="1"/>
  <c r="AI29" i="16"/>
  <c r="L293" i="30" s="1"/>
  <c r="AB29" i="16"/>
  <c r="AA29" i="16"/>
  <c r="T29" i="16"/>
  <c r="M267" i="30" s="1"/>
  <c r="S29" i="16"/>
  <c r="L267" i="30" s="1"/>
  <c r="L29" i="16"/>
  <c r="AJ27" i="16"/>
  <c r="AH27" i="16"/>
  <c r="AB27" i="16"/>
  <c r="M278" i="30" s="1"/>
  <c r="AA27" i="16"/>
  <c r="L278" i="30" s="1"/>
  <c r="T27" i="16"/>
  <c r="R27" i="16"/>
  <c r="L27" i="16"/>
  <c r="J27" i="16"/>
  <c r="K27" i="16" s="1"/>
  <c r="L87" i="13"/>
  <c r="K87" i="13"/>
  <c r="AJ85" i="13"/>
  <c r="AH85" i="13"/>
  <c r="AB85" i="13"/>
  <c r="AA85" i="13"/>
  <c r="L164" i="30" s="1"/>
  <c r="T85" i="13"/>
  <c r="R85" i="13"/>
  <c r="L85" i="13"/>
  <c r="J85" i="13"/>
  <c r="K85" i="13" s="1"/>
  <c r="D83" i="13"/>
  <c r="L73" i="13"/>
  <c r="K73" i="13"/>
  <c r="AJ71" i="13"/>
  <c r="AH71" i="13"/>
  <c r="AB71" i="13"/>
  <c r="M151" i="30" s="1"/>
  <c r="AA71" i="13"/>
  <c r="T71" i="13"/>
  <c r="R71" i="13"/>
  <c r="L71" i="13"/>
  <c r="J71" i="13"/>
  <c r="K71" i="13" s="1"/>
  <c r="D69" i="13"/>
  <c r="AJ60" i="13"/>
  <c r="AI60" i="13"/>
  <c r="AB60" i="13"/>
  <c r="AA60" i="13"/>
  <c r="T60" i="13"/>
  <c r="S60" i="13"/>
  <c r="L60" i="13"/>
  <c r="K60" i="13"/>
  <c r="AJ59" i="13"/>
  <c r="AI59" i="13"/>
  <c r="AB59" i="13"/>
  <c r="AA59" i="13"/>
  <c r="T59" i="13"/>
  <c r="S59" i="13"/>
  <c r="AJ57" i="13"/>
  <c r="AI57" i="13"/>
  <c r="AB57" i="13"/>
  <c r="AA57" i="13"/>
  <c r="T57" i="13"/>
  <c r="S57" i="13"/>
  <c r="L57" i="13"/>
  <c r="F140" i="30" s="1"/>
  <c r="K57" i="13"/>
  <c r="AJ55" i="13"/>
  <c r="M225" i="30" s="1"/>
  <c r="AH55" i="13"/>
  <c r="AB55" i="13"/>
  <c r="AA55" i="13"/>
  <c r="T55" i="13"/>
  <c r="R55" i="13"/>
  <c r="S55" i="13" s="1"/>
  <c r="L55" i="13"/>
  <c r="J55" i="13"/>
  <c r="D54" i="13"/>
  <c r="AJ46" i="13"/>
  <c r="M198" i="30" s="1"/>
  <c r="AI46" i="13"/>
  <c r="L198" i="30" s="1"/>
  <c r="AB46" i="13"/>
  <c r="M111" i="30" s="1"/>
  <c r="AA46" i="13"/>
  <c r="L111" i="30" s="1"/>
  <c r="T46" i="13"/>
  <c r="M26" i="30" s="1"/>
  <c r="S46" i="13"/>
  <c r="L46" i="13"/>
  <c r="K46" i="13"/>
  <c r="AJ45" i="13"/>
  <c r="M197" i="30" s="1"/>
  <c r="AI45" i="13"/>
  <c r="L197" i="30" s="1"/>
  <c r="AB45" i="13"/>
  <c r="M110" i="30" s="1"/>
  <c r="AA45" i="13"/>
  <c r="T45" i="13"/>
  <c r="M25" i="30" s="1"/>
  <c r="S45" i="13"/>
  <c r="AJ43" i="13"/>
  <c r="M195" i="30" s="1"/>
  <c r="AI43" i="13"/>
  <c r="AB43" i="13"/>
  <c r="M108" i="30" s="1"/>
  <c r="AA43" i="13"/>
  <c r="L108" i="30" s="1"/>
  <c r="T43" i="13"/>
  <c r="M23" i="30" s="1"/>
  <c r="S43" i="13"/>
  <c r="L23" i="30" s="1"/>
  <c r="L43" i="13"/>
  <c r="F23" i="30" s="1"/>
  <c r="K43" i="13"/>
  <c r="E23" i="30" s="1"/>
  <c r="AJ41" i="13"/>
  <c r="M193" i="30" s="1"/>
  <c r="AH41" i="13"/>
  <c r="AB41" i="13"/>
  <c r="M106" i="30" s="1"/>
  <c r="AA41" i="13"/>
  <c r="L106" i="30" s="1"/>
  <c r="T41" i="13"/>
  <c r="R41" i="13"/>
  <c r="L41" i="13"/>
  <c r="J41" i="13"/>
  <c r="K41" i="13" s="1"/>
  <c r="D40" i="13"/>
  <c r="AJ32" i="13"/>
  <c r="M211" i="30" s="1"/>
  <c r="AI32" i="13"/>
  <c r="L211" i="30" s="1"/>
  <c r="AB32" i="13"/>
  <c r="M124" i="30" s="1"/>
  <c r="AA32" i="13"/>
  <c r="L124" i="30" s="1"/>
  <c r="T32" i="13"/>
  <c r="M39" i="30" s="1"/>
  <c r="S32" i="13"/>
  <c r="L39" i="30" s="1"/>
  <c r="L32" i="13"/>
  <c r="K32" i="13"/>
  <c r="AJ31" i="13"/>
  <c r="M210" i="30" s="1"/>
  <c r="AI31" i="13"/>
  <c r="L210" i="30" s="1"/>
  <c r="AB31" i="13"/>
  <c r="M123" i="30" s="1"/>
  <c r="AA31" i="13"/>
  <c r="L123" i="30" s="1"/>
  <c r="T31" i="13"/>
  <c r="M38" i="30" s="1"/>
  <c r="S31" i="13"/>
  <c r="L38" i="30" s="1"/>
  <c r="AJ29" i="13"/>
  <c r="M208" i="30" s="1"/>
  <c r="AI29" i="13"/>
  <c r="L208" i="30" s="1"/>
  <c r="AB29" i="13"/>
  <c r="M121" i="30" s="1"/>
  <c r="AA29" i="13"/>
  <c r="L121" i="30" s="1"/>
  <c r="T29" i="13"/>
  <c r="M36" i="30" s="1"/>
  <c r="S29" i="13"/>
  <c r="L36" i="30" s="1"/>
  <c r="L29" i="13"/>
  <c r="AJ27" i="13"/>
  <c r="M206" i="30" s="1"/>
  <c r="AH27" i="13"/>
  <c r="AB27" i="13"/>
  <c r="M119" i="30" s="1"/>
  <c r="AA27" i="13"/>
  <c r="L119" i="30" s="1"/>
  <c r="T27" i="13"/>
  <c r="R27" i="13"/>
  <c r="L27" i="13"/>
  <c r="J27" i="13"/>
  <c r="K33" i="37" l="1"/>
  <c r="K45" i="37"/>
  <c r="K45" i="38"/>
  <c r="H322" i="31"/>
  <c r="K48" i="38"/>
  <c r="G387" i="31" s="1"/>
  <c r="J50" i="38"/>
  <c r="F363" i="31" s="1"/>
  <c r="N30" i="19"/>
  <c r="E226" i="31"/>
  <c r="E213" i="31"/>
  <c r="E200" i="31"/>
  <c r="F226" i="31"/>
  <c r="F213" i="31"/>
  <c r="F200" i="31"/>
  <c r="S28" i="16"/>
  <c r="L266" i="30" s="1"/>
  <c r="M42" i="16"/>
  <c r="G317" i="30" s="1"/>
  <c r="M27" i="16"/>
  <c r="G278" i="30" s="1"/>
  <c r="S43" i="16"/>
  <c r="L305" i="30" s="1"/>
  <c r="AC60" i="13"/>
  <c r="N143" i="30" s="1"/>
  <c r="U57" i="13"/>
  <c r="N10" i="30" s="1"/>
  <c r="S73" i="13"/>
  <c r="L67" i="30" s="1"/>
  <c r="AB73" i="13"/>
  <c r="L74" i="13"/>
  <c r="K74" i="13"/>
  <c r="L75" i="13"/>
  <c r="K75" i="13"/>
  <c r="K55" i="13"/>
  <c r="E8" i="30" s="1"/>
  <c r="S90" i="13"/>
  <c r="L83" i="30" s="1"/>
  <c r="K89" i="13"/>
  <c r="K88" i="13"/>
  <c r="L89" i="13"/>
  <c r="L88" i="13"/>
  <c r="H255" i="31"/>
  <c r="I216" i="31"/>
  <c r="I89" i="31"/>
  <c r="H39" i="30"/>
  <c r="I125" i="30"/>
  <c r="J212" i="30"/>
  <c r="N39" i="20"/>
  <c r="G153" i="31" s="1"/>
  <c r="M54" i="20"/>
  <c r="F39" i="31" s="1"/>
  <c r="N29" i="19"/>
  <c r="G199" i="31" s="1"/>
  <c r="K34" i="38"/>
  <c r="G347" i="31" s="1"/>
  <c r="K32" i="38"/>
  <c r="G345" i="31" s="1"/>
  <c r="K47" i="37"/>
  <c r="G281" i="31" s="1"/>
  <c r="K32" i="37"/>
  <c r="G253" i="31" s="1"/>
  <c r="K31" i="37"/>
  <c r="G265" i="31" s="1"/>
  <c r="T37" i="20"/>
  <c r="AD51" i="20"/>
  <c r="N109" i="31" s="1"/>
  <c r="AB42" i="20"/>
  <c r="L89" i="31" s="1"/>
  <c r="AB32" i="19"/>
  <c r="L216" i="31" s="1"/>
  <c r="AK31" i="16"/>
  <c r="N295" i="30" s="1"/>
  <c r="AJ48" i="16"/>
  <c r="M336" i="30" s="1"/>
  <c r="AH35" i="37"/>
  <c r="M269" i="31" s="1"/>
  <c r="AL30" i="19"/>
  <c r="N227" i="31" s="1"/>
  <c r="T87" i="13"/>
  <c r="M80" i="30" s="1"/>
  <c r="AI87" i="13"/>
  <c r="L253" i="30" s="1"/>
  <c r="AC59" i="13"/>
  <c r="N97" i="30" s="1"/>
  <c r="AJ87" i="13"/>
  <c r="M253" i="30" s="1"/>
  <c r="T89" i="13"/>
  <c r="M82" i="30" s="1"/>
  <c r="U60" i="13"/>
  <c r="N57" i="30" s="1"/>
  <c r="AK59" i="13"/>
  <c r="N229" i="30" s="1"/>
  <c r="S56" i="13"/>
  <c r="S61" i="13" s="1"/>
  <c r="T56" i="13"/>
  <c r="M9" i="30" s="1"/>
  <c r="K21" i="30"/>
  <c r="K27" i="30" s="1"/>
  <c r="K28" i="30" s="1"/>
  <c r="G210" i="30"/>
  <c r="M87" i="13"/>
  <c r="G253" i="30" s="1"/>
  <c r="K47" i="13"/>
  <c r="E27" i="30" s="1"/>
  <c r="I269" i="31"/>
  <c r="H242" i="31"/>
  <c r="I113" i="31"/>
  <c r="J125" i="30"/>
  <c r="I212" i="30"/>
  <c r="I297" i="30"/>
  <c r="AA48" i="38"/>
  <c r="N373" i="31" s="1"/>
  <c r="J36" i="38"/>
  <c r="F349" i="31" s="1"/>
  <c r="S34" i="38"/>
  <c r="N320" i="31" s="1"/>
  <c r="R36" i="38"/>
  <c r="M323" i="31" s="1"/>
  <c r="S49" i="38"/>
  <c r="N362" i="31" s="1"/>
  <c r="AH36" i="38"/>
  <c r="M349" i="31" s="1"/>
  <c r="S47" i="38"/>
  <c r="N359" i="31" s="1"/>
  <c r="S48" i="38"/>
  <c r="N360" i="31" s="1"/>
  <c r="AA47" i="38"/>
  <c r="N372" i="31" s="1"/>
  <c r="AI49" i="38"/>
  <c r="N388" i="31" s="1"/>
  <c r="I363" i="31"/>
  <c r="AA33" i="38"/>
  <c r="N332" i="31" s="1"/>
  <c r="AA34" i="38"/>
  <c r="N333" i="31" s="1"/>
  <c r="AA34" i="37"/>
  <c r="N255" i="31" s="1"/>
  <c r="R45" i="37"/>
  <c r="S45" i="37" s="1"/>
  <c r="N278" i="31" s="1"/>
  <c r="Q30" i="37"/>
  <c r="S30" i="37" s="1"/>
  <c r="J49" i="37"/>
  <c r="F309" i="31" s="1"/>
  <c r="AG44" i="37"/>
  <c r="AG49" i="37" s="1"/>
  <c r="L309" i="31" s="1"/>
  <c r="S33" i="37"/>
  <c r="N240" i="31" s="1"/>
  <c r="S46" i="37"/>
  <c r="N279" i="31" s="1"/>
  <c r="S32" i="37"/>
  <c r="N239" i="31" s="1"/>
  <c r="AI34" i="37"/>
  <c r="N268" i="31" s="1"/>
  <c r="AH49" i="37"/>
  <c r="M309" i="31" s="1"/>
  <c r="AA32" i="37"/>
  <c r="N252" i="31" s="1"/>
  <c r="AD52" i="20"/>
  <c r="N111" i="31" s="1"/>
  <c r="AB30" i="20"/>
  <c r="L101" i="31" s="1"/>
  <c r="AD28" i="20"/>
  <c r="N99" i="31" s="1"/>
  <c r="M42" i="20"/>
  <c r="F15" i="31" s="1"/>
  <c r="V53" i="20"/>
  <c r="N38" i="31" s="1"/>
  <c r="T25" i="20"/>
  <c r="L21" i="31" s="1"/>
  <c r="I27" i="31"/>
  <c r="AC30" i="20"/>
  <c r="M101" i="31" s="1"/>
  <c r="V29" i="20"/>
  <c r="N26" i="31" s="1"/>
  <c r="AD37" i="20"/>
  <c r="AC54" i="20"/>
  <c r="M113" i="31" s="1"/>
  <c r="T38" i="20"/>
  <c r="L10" i="31" s="1"/>
  <c r="AD27" i="20"/>
  <c r="N97" i="31" s="1"/>
  <c r="U38" i="20"/>
  <c r="M10" i="31" s="1"/>
  <c r="AL41" i="20"/>
  <c r="N156" i="31" s="1"/>
  <c r="I157" i="31"/>
  <c r="AC32" i="16"/>
  <c r="N283" i="30" s="1"/>
  <c r="AC44" i="16"/>
  <c r="N319" i="30" s="1"/>
  <c r="L33" i="16"/>
  <c r="F297" i="30" s="1"/>
  <c r="U29" i="16"/>
  <c r="N267" i="30" s="1"/>
  <c r="AK44" i="16"/>
  <c r="N332" i="30" s="1"/>
  <c r="AC47" i="16"/>
  <c r="N322" i="30" s="1"/>
  <c r="S27" i="16"/>
  <c r="U27" i="16" s="1"/>
  <c r="AK46" i="13"/>
  <c r="N198" i="30" s="1"/>
  <c r="K151" i="30"/>
  <c r="K157" i="30" s="1"/>
  <c r="K158" i="30" s="1"/>
  <c r="K180" i="30"/>
  <c r="K186" i="30" s="1"/>
  <c r="K187" i="30" s="1"/>
  <c r="U29" i="13"/>
  <c r="N36" i="30" s="1"/>
  <c r="S85" i="13"/>
  <c r="U85" i="13" s="1"/>
  <c r="K98" i="30"/>
  <c r="K278" i="30"/>
  <c r="K284" i="30" s="1"/>
  <c r="K285" i="30" s="1"/>
  <c r="AC29" i="13"/>
  <c r="N121" i="30" s="1"/>
  <c r="K330" i="30"/>
  <c r="K336" i="30" s="1"/>
  <c r="K337" i="30" s="1"/>
  <c r="AC43" i="13"/>
  <c r="N108" i="30" s="1"/>
  <c r="H282" i="31"/>
  <c r="K309" i="30"/>
  <c r="AA33" i="13"/>
  <c r="L125" i="30" s="1"/>
  <c r="I256" i="31"/>
  <c r="K93" i="30"/>
  <c r="K99" i="30" s="1"/>
  <c r="K100" i="30" s="1"/>
  <c r="I229" i="31"/>
  <c r="AJ33" i="13"/>
  <c r="M212" i="30" s="1"/>
  <c r="AA47" i="13"/>
  <c r="L112" i="30" s="1"/>
  <c r="AC27" i="13"/>
  <c r="N119" i="30" s="1"/>
  <c r="AK31" i="13"/>
  <c r="N210" i="30" s="1"/>
  <c r="AB47" i="13"/>
  <c r="M112" i="30" s="1"/>
  <c r="S89" i="13"/>
  <c r="K125" i="30"/>
  <c r="K126" i="30" s="1"/>
  <c r="K193" i="30"/>
  <c r="K199" i="30" s="1"/>
  <c r="K200" i="30" s="1"/>
  <c r="K251" i="30"/>
  <c r="K257" i="30" s="1"/>
  <c r="K258" i="30" s="1"/>
  <c r="AA61" i="13"/>
  <c r="L99" i="30" s="1"/>
  <c r="M57" i="13"/>
  <c r="G54" i="30" s="1"/>
  <c r="AC71" i="13"/>
  <c r="N151" i="30" s="1"/>
  <c r="S27" i="13"/>
  <c r="L34" i="30" s="1"/>
  <c r="AI27" i="13"/>
  <c r="AI33" i="13" s="1"/>
  <c r="L212" i="30" s="1"/>
  <c r="I389" i="31"/>
  <c r="K212" i="30"/>
  <c r="K213" i="30" s="1"/>
  <c r="L47" i="13"/>
  <c r="F112" i="30" s="1"/>
  <c r="M32" i="13"/>
  <c r="G124" i="30" s="1"/>
  <c r="AA89" i="13"/>
  <c r="L168" i="30" s="1"/>
  <c r="D84" i="13"/>
  <c r="AJ89" i="13"/>
  <c r="M255" i="30" s="1"/>
  <c r="S41" i="13"/>
  <c r="L21" i="30" s="1"/>
  <c r="L90" i="13"/>
  <c r="F256" i="30" s="1"/>
  <c r="H26" i="30"/>
  <c r="I296" i="31"/>
  <c r="AC32" i="13"/>
  <c r="N124" i="30" s="1"/>
  <c r="AK32" i="13"/>
  <c r="N211" i="30" s="1"/>
  <c r="AI71" i="13"/>
  <c r="AK71" i="13" s="1"/>
  <c r="I271" i="30"/>
  <c r="AD27" i="19"/>
  <c r="N210" i="31" s="1"/>
  <c r="AJ27" i="19"/>
  <c r="L223" i="31" s="1"/>
  <c r="AK32" i="19"/>
  <c r="M229" i="31" s="1"/>
  <c r="AD31" i="19"/>
  <c r="N215" i="31" s="1"/>
  <c r="K202" i="31"/>
  <c r="H215" i="31"/>
  <c r="K163" i="31"/>
  <c r="K169" i="31" s="1"/>
  <c r="K170" i="31" s="1"/>
  <c r="H156" i="31"/>
  <c r="K268" i="31"/>
  <c r="K295" i="31"/>
  <c r="H228" i="31"/>
  <c r="K308" i="31"/>
  <c r="K335" i="31"/>
  <c r="K362" i="31"/>
  <c r="L54" i="31"/>
  <c r="H388" i="31"/>
  <c r="K95" i="31"/>
  <c r="K101" i="31" s="1"/>
  <c r="K102" i="31" s="1"/>
  <c r="K317" i="31"/>
  <c r="K323" i="31" s="1"/>
  <c r="K324" i="31" s="1"/>
  <c r="K370" i="31"/>
  <c r="K376" i="31" s="1"/>
  <c r="K377" i="31" s="1"/>
  <c r="K9" i="31"/>
  <c r="K15" i="31" s="1"/>
  <c r="K16" i="31" s="1"/>
  <c r="J113" i="31"/>
  <c r="I349" i="31"/>
  <c r="K375" i="31"/>
  <c r="J15" i="31"/>
  <c r="L50" i="31"/>
  <c r="L55" i="31" s="1"/>
  <c r="K33" i="31"/>
  <c r="K39" i="31" s="1"/>
  <c r="K40" i="31" s="1"/>
  <c r="K237" i="31"/>
  <c r="K243" i="31" s="1"/>
  <c r="K244" i="31" s="1"/>
  <c r="K197" i="31"/>
  <c r="K203" i="31" s="1"/>
  <c r="K204" i="31" s="1"/>
  <c r="H26" i="31"/>
  <c r="K348" i="31"/>
  <c r="T33" i="16"/>
  <c r="M271" i="30" s="1"/>
  <c r="D70" i="13"/>
  <c r="D32" i="30"/>
  <c r="T28" i="13"/>
  <c r="M35" i="30" s="1"/>
  <c r="S28" i="13"/>
  <c r="U55" i="13"/>
  <c r="E124" i="30"/>
  <c r="E211" i="30"/>
  <c r="E39" i="30"/>
  <c r="L185" i="30"/>
  <c r="L230" i="30"/>
  <c r="AI75" i="13"/>
  <c r="M185" i="30"/>
  <c r="M230" i="30"/>
  <c r="E108" i="30"/>
  <c r="E195" i="30"/>
  <c r="M43" i="13"/>
  <c r="G23" i="30" s="1"/>
  <c r="E97" i="30"/>
  <c r="E184" i="30"/>
  <c r="E142" i="30"/>
  <c r="E229" i="30"/>
  <c r="E12" i="30"/>
  <c r="E56" i="30"/>
  <c r="AK60" i="13"/>
  <c r="L33" i="13"/>
  <c r="U31" i="13"/>
  <c r="N38" i="30" s="1"/>
  <c r="AB33" i="13"/>
  <c r="M125" i="30" s="1"/>
  <c r="E198" i="30"/>
  <c r="E111" i="30"/>
  <c r="E26" i="30"/>
  <c r="M46" i="13"/>
  <c r="L95" i="30"/>
  <c r="L140" i="30"/>
  <c r="F97" i="30"/>
  <c r="F229" i="30"/>
  <c r="F12" i="30"/>
  <c r="F56" i="30"/>
  <c r="F184" i="30"/>
  <c r="F142" i="30"/>
  <c r="K76" i="13"/>
  <c r="AK29" i="13"/>
  <c r="N208" i="30" s="1"/>
  <c r="F198" i="30"/>
  <c r="F111" i="30"/>
  <c r="F26" i="30"/>
  <c r="M95" i="30"/>
  <c r="M140" i="30"/>
  <c r="AI76" i="13"/>
  <c r="M164" i="30"/>
  <c r="E309" i="30"/>
  <c r="E335" i="30"/>
  <c r="E322" i="30"/>
  <c r="M47" i="16"/>
  <c r="G197" i="30"/>
  <c r="G110" i="30"/>
  <c r="G25" i="30"/>
  <c r="L26" i="30"/>
  <c r="U46" i="13"/>
  <c r="N26" i="30" s="1"/>
  <c r="AC57" i="13"/>
  <c r="F230" i="30"/>
  <c r="F98" i="30"/>
  <c r="F185" i="30"/>
  <c r="F143" i="30"/>
  <c r="F13" i="30"/>
  <c r="F57" i="30"/>
  <c r="E153" i="30"/>
  <c r="E240" i="30"/>
  <c r="E67" i="30"/>
  <c r="M73" i="13"/>
  <c r="AJ76" i="13"/>
  <c r="M243" i="30" s="1"/>
  <c r="AC85" i="13"/>
  <c r="F309" i="30"/>
  <c r="F322" i="30"/>
  <c r="F335" i="30"/>
  <c r="L25" i="30"/>
  <c r="U45" i="13"/>
  <c r="N25" i="30" s="1"/>
  <c r="L61" i="13"/>
  <c r="M56" i="30"/>
  <c r="M12" i="30"/>
  <c r="F153" i="30"/>
  <c r="F240" i="30"/>
  <c r="F67" i="30"/>
  <c r="AI85" i="13"/>
  <c r="F308" i="30"/>
  <c r="F321" i="30"/>
  <c r="F334" i="30"/>
  <c r="L168" i="31"/>
  <c r="AL29" i="20"/>
  <c r="N168" i="31" s="1"/>
  <c r="L52" i="30"/>
  <c r="L8" i="30"/>
  <c r="AJ75" i="13"/>
  <c r="M242" i="30" s="1"/>
  <c r="F121" i="30"/>
  <c r="F208" i="30"/>
  <c r="F36" i="30"/>
  <c r="M227" i="30"/>
  <c r="M182" i="30"/>
  <c r="L195" i="30"/>
  <c r="AK43" i="13"/>
  <c r="N195" i="30" s="1"/>
  <c r="D62" i="30"/>
  <c r="H243" i="30" s="1"/>
  <c r="AB76" i="13"/>
  <c r="M156" i="30" s="1"/>
  <c r="AA76" i="13"/>
  <c r="AB75" i="13"/>
  <c r="M155" i="30" s="1"/>
  <c r="AA75" i="13"/>
  <c r="AJ73" i="13"/>
  <c r="T76" i="13"/>
  <c r="M70" i="30" s="1"/>
  <c r="AI73" i="13"/>
  <c r="S76" i="13"/>
  <c r="T75" i="13"/>
  <c r="M69" i="30" s="1"/>
  <c r="S75" i="13"/>
  <c r="AA73" i="13"/>
  <c r="L76" i="13"/>
  <c r="T73" i="13"/>
  <c r="M67" i="30" s="1"/>
  <c r="F124" i="30"/>
  <c r="F211" i="30"/>
  <c r="F39" i="30"/>
  <c r="D19" i="30"/>
  <c r="T42" i="13"/>
  <c r="M22" i="30" s="1"/>
  <c r="S42" i="13"/>
  <c r="L110" i="30"/>
  <c r="AC45" i="13"/>
  <c r="N110" i="30" s="1"/>
  <c r="L151" i="30"/>
  <c r="E208" i="30"/>
  <c r="E121" i="30"/>
  <c r="E36" i="30"/>
  <c r="L227" i="30"/>
  <c r="L182" i="30"/>
  <c r="L56" i="30"/>
  <c r="L12" i="30"/>
  <c r="E230" i="30"/>
  <c r="E98" i="30"/>
  <c r="E185" i="30"/>
  <c r="E13" i="30"/>
  <c r="E143" i="30"/>
  <c r="E57" i="30"/>
  <c r="M319" i="30"/>
  <c r="AB48" i="16"/>
  <c r="M323" i="30" s="1"/>
  <c r="L308" i="30"/>
  <c r="U46" i="16"/>
  <c r="N308" i="30" s="1"/>
  <c r="L23" i="31"/>
  <c r="V27" i="20"/>
  <c r="N23" i="31" s="1"/>
  <c r="M29" i="13"/>
  <c r="AC31" i="13"/>
  <c r="N123" i="30" s="1"/>
  <c r="U32" i="13"/>
  <c r="N39" i="30" s="1"/>
  <c r="AC41" i="13"/>
  <c r="F108" i="30"/>
  <c r="F195" i="30"/>
  <c r="AJ47" i="13"/>
  <c r="M199" i="30" s="1"/>
  <c r="L138" i="30"/>
  <c r="L93" i="30"/>
  <c r="AK57" i="13"/>
  <c r="U59" i="13"/>
  <c r="M60" i="13"/>
  <c r="AJ61" i="13"/>
  <c r="E251" i="30"/>
  <c r="E78" i="30"/>
  <c r="M85" i="13"/>
  <c r="E164" i="30"/>
  <c r="E282" i="30"/>
  <c r="E295" i="30"/>
  <c r="E269" i="30"/>
  <c r="M31" i="16"/>
  <c r="E215" i="31"/>
  <c r="E202" i="31"/>
  <c r="E228" i="31"/>
  <c r="N31" i="19"/>
  <c r="L167" i="31"/>
  <c r="AL28" i="20"/>
  <c r="N167" i="31" s="1"/>
  <c r="L107" i="31"/>
  <c r="AB54" i="20"/>
  <c r="L113" i="31" s="1"/>
  <c r="AD49" i="20"/>
  <c r="L177" i="31"/>
  <c r="AL51" i="20"/>
  <c r="N177" i="31" s="1"/>
  <c r="M138" i="30"/>
  <c r="M93" i="30"/>
  <c r="AB61" i="13"/>
  <c r="E182" i="30"/>
  <c r="E140" i="30"/>
  <c r="E227" i="30"/>
  <c r="E54" i="30"/>
  <c r="E10" i="30"/>
  <c r="E95" i="30"/>
  <c r="L142" i="30"/>
  <c r="L97" i="30"/>
  <c r="L57" i="30"/>
  <c r="L13" i="30"/>
  <c r="F269" i="30"/>
  <c r="F282" i="30"/>
  <c r="F295" i="30"/>
  <c r="M305" i="30"/>
  <c r="T48" i="16"/>
  <c r="M310" i="30" s="1"/>
  <c r="G225" i="31"/>
  <c r="G212" i="31"/>
  <c r="L292" i="31"/>
  <c r="AA46" i="37"/>
  <c r="N292" i="31" s="1"/>
  <c r="L375" i="31"/>
  <c r="AA49" i="38"/>
  <c r="N375" i="31" s="1"/>
  <c r="K27" i="13"/>
  <c r="AI41" i="13"/>
  <c r="AC55" i="13"/>
  <c r="F95" i="30"/>
  <c r="F227" i="30"/>
  <c r="F182" i="30"/>
  <c r="F54" i="30"/>
  <c r="F10" i="30"/>
  <c r="M142" i="30"/>
  <c r="M97" i="30"/>
  <c r="M57" i="30"/>
  <c r="M13" i="30"/>
  <c r="D75" i="30"/>
  <c r="AJ90" i="13"/>
  <c r="M256" i="30" s="1"/>
  <c r="AB87" i="13"/>
  <c r="M166" i="30" s="1"/>
  <c r="AI90" i="13"/>
  <c r="AA87" i="13"/>
  <c r="AB90" i="13"/>
  <c r="M169" i="30" s="1"/>
  <c r="AA90" i="13"/>
  <c r="AI89" i="13"/>
  <c r="S87" i="13"/>
  <c r="T90" i="13"/>
  <c r="AB89" i="13"/>
  <c r="M168" i="30" s="1"/>
  <c r="K90" i="13"/>
  <c r="K48" i="16"/>
  <c r="L199" i="31"/>
  <c r="V29" i="19"/>
  <c r="N199" i="31" s="1"/>
  <c r="L201" i="31"/>
  <c r="V30" i="19"/>
  <c r="N201" i="31" s="1"/>
  <c r="L202" i="31"/>
  <c r="V31" i="19"/>
  <c r="N202" i="31" s="1"/>
  <c r="N83" i="31"/>
  <c r="F253" i="31"/>
  <c r="F240" i="31"/>
  <c r="F266" i="31"/>
  <c r="J35" i="37"/>
  <c r="I44" i="37"/>
  <c r="E106" i="30"/>
  <c r="E193" i="30"/>
  <c r="E21" i="30"/>
  <c r="E151" i="30"/>
  <c r="E238" i="30"/>
  <c r="E65" i="30"/>
  <c r="L280" i="30"/>
  <c r="AC29" i="16"/>
  <c r="N280" i="30" s="1"/>
  <c r="L48" i="16"/>
  <c r="AJ37" i="20"/>
  <c r="G279" i="31"/>
  <c r="G305" i="31"/>
  <c r="G292" i="31"/>
  <c r="L305" i="31"/>
  <c r="AI46" i="37"/>
  <c r="N305" i="31" s="1"/>
  <c r="E123" i="30"/>
  <c r="E210" i="30"/>
  <c r="E38" i="30"/>
  <c r="U43" i="13"/>
  <c r="N23" i="30" s="1"/>
  <c r="AK45" i="13"/>
  <c r="N197" i="30" s="1"/>
  <c r="AC46" i="13"/>
  <c r="N111" i="30" s="1"/>
  <c r="AI55" i="13"/>
  <c r="L54" i="30"/>
  <c r="L10" i="30"/>
  <c r="L184" i="30"/>
  <c r="L229" i="30"/>
  <c r="L143" i="30"/>
  <c r="L98" i="30"/>
  <c r="E253" i="30"/>
  <c r="E166" i="30"/>
  <c r="E80" i="30"/>
  <c r="M280" i="30"/>
  <c r="AB33" i="16"/>
  <c r="M284" i="30" s="1"/>
  <c r="F123" i="30"/>
  <c r="F38" i="30"/>
  <c r="F210" i="30"/>
  <c r="M41" i="13"/>
  <c r="E197" i="30"/>
  <c r="E110" i="30"/>
  <c r="E25" i="30"/>
  <c r="M54" i="30"/>
  <c r="M10" i="30"/>
  <c r="M184" i="30"/>
  <c r="M229" i="30"/>
  <c r="M98" i="30"/>
  <c r="M143" i="30"/>
  <c r="M71" i="13"/>
  <c r="E346" i="31"/>
  <c r="E333" i="31"/>
  <c r="E320" i="31"/>
  <c r="K33" i="38"/>
  <c r="F197" i="30"/>
  <c r="F25" i="30"/>
  <c r="F110" i="30"/>
  <c r="S71" i="13"/>
  <c r="L296" i="30"/>
  <c r="AK32" i="16"/>
  <c r="N296" i="30" s="1"/>
  <c r="S42" i="16"/>
  <c r="D221" i="31"/>
  <c r="D195" i="31"/>
  <c r="D208" i="31"/>
  <c r="U28" i="19"/>
  <c r="M198" i="31" s="1"/>
  <c r="T28" i="19"/>
  <c r="AG31" i="38"/>
  <c r="L95" i="31"/>
  <c r="AD25" i="20"/>
  <c r="E156" i="31"/>
  <c r="E88" i="31"/>
  <c r="E14" i="31"/>
  <c r="N41" i="20"/>
  <c r="G254" i="31"/>
  <c r="G241" i="31"/>
  <c r="G267" i="31"/>
  <c r="L278" i="31"/>
  <c r="M319" i="31"/>
  <c r="S33" i="38"/>
  <c r="N319" i="31" s="1"/>
  <c r="M385" i="31"/>
  <c r="AI47" i="38"/>
  <c r="N385" i="31" s="1"/>
  <c r="F253" i="30"/>
  <c r="F166" i="30"/>
  <c r="F80" i="30"/>
  <c r="D276" i="30"/>
  <c r="D263" i="30"/>
  <c r="D289" i="30"/>
  <c r="E296" i="30"/>
  <c r="E270" i="30"/>
  <c r="E283" i="30"/>
  <c r="AA33" i="16"/>
  <c r="L284" i="30" s="1"/>
  <c r="D302" i="30"/>
  <c r="D315" i="30"/>
  <c r="D328" i="30"/>
  <c r="L309" i="30"/>
  <c r="U47" i="16"/>
  <c r="N309" i="30" s="1"/>
  <c r="L212" i="31"/>
  <c r="AD29" i="19"/>
  <c r="N212" i="31" s="1"/>
  <c r="L214" i="31"/>
  <c r="AD30" i="19"/>
  <c r="N214" i="31" s="1"/>
  <c r="F283" i="30"/>
  <c r="F270" i="30"/>
  <c r="F296" i="30"/>
  <c r="L321" i="30"/>
  <c r="AC46" i="16"/>
  <c r="N321" i="30" s="1"/>
  <c r="L165" i="31"/>
  <c r="AL27" i="20"/>
  <c r="N165" i="31" s="1"/>
  <c r="L14" i="31"/>
  <c r="V41" i="20"/>
  <c r="N14" i="31" s="1"/>
  <c r="L290" i="31"/>
  <c r="Y49" i="37"/>
  <c r="L296" i="31" s="1"/>
  <c r="AA44" i="37"/>
  <c r="G370" i="31"/>
  <c r="G357" i="31"/>
  <c r="G383" i="31"/>
  <c r="G265" i="30"/>
  <c r="AK29" i="16"/>
  <c r="N293" i="30" s="1"/>
  <c r="U31" i="16"/>
  <c r="N269" i="30" s="1"/>
  <c r="M32" i="16"/>
  <c r="L27" i="19"/>
  <c r="L225" i="31"/>
  <c r="AL29" i="19"/>
  <c r="N225" i="31" s="1"/>
  <c r="AJ25" i="20"/>
  <c r="E168" i="31"/>
  <c r="E100" i="31"/>
  <c r="E26" i="31"/>
  <c r="N29" i="20"/>
  <c r="L13" i="31"/>
  <c r="V40" i="20"/>
  <c r="N13" i="31" s="1"/>
  <c r="M290" i="31"/>
  <c r="Z49" i="37"/>
  <c r="M296" i="31" s="1"/>
  <c r="E308" i="31"/>
  <c r="E295" i="31"/>
  <c r="E282" i="31"/>
  <c r="K48" i="37"/>
  <c r="E386" i="31"/>
  <c r="E360" i="31"/>
  <c r="E373" i="31"/>
  <c r="K47" i="38"/>
  <c r="I50" i="38"/>
  <c r="AC27" i="16"/>
  <c r="E267" i="30"/>
  <c r="E280" i="30"/>
  <c r="E293" i="30"/>
  <c r="AC42" i="16"/>
  <c r="E319" i="30"/>
  <c r="E332" i="30"/>
  <c r="E306" i="30"/>
  <c r="M44" i="16"/>
  <c r="M32" i="19"/>
  <c r="F168" i="31"/>
  <c r="F100" i="31"/>
  <c r="F26" i="31"/>
  <c r="M30" i="20"/>
  <c r="E177" i="31"/>
  <c r="E35" i="31"/>
  <c r="E109" i="31"/>
  <c r="N51" i="20"/>
  <c r="F267" i="30"/>
  <c r="F280" i="30"/>
  <c r="F293" i="30"/>
  <c r="AJ33" i="16"/>
  <c r="M297" i="30" s="1"/>
  <c r="F319" i="30"/>
  <c r="F332" i="30"/>
  <c r="F306" i="30"/>
  <c r="L9" i="31"/>
  <c r="V37" i="20"/>
  <c r="G85" i="31"/>
  <c r="L87" i="31"/>
  <c r="AD40" i="20"/>
  <c r="N87" i="31" s="1"/>
  <c r="L112" i="31"/>
  <c r="AD53" i="20"/>
  <c r="N112" i="31" s="1"/>
  <c r="G239" i="31"/>
  <c r="G294" i="31"/>
  <c r="L282" i="31"/>
  <c r="S48" i="37"/>
  <c r="N282" i="31" s="1"/>
  <c r="M348" i="31"/>
  <c r="AI35" i="38"/>
  <c r="N348" i="31" s="1"/>
  <c r="AI27" i="16"/>
  <c r="M29" i="16"/>
  <c r="AC31" i="16"/>
  <c r="N282" i="30" s="1"/>
  <c r="U32" i="16"/>
  <c r="N270" i="30" s="1"/>
  <c r="AI42" i="16"/>
  <c r="AK46" i="16"/>
  <c r="N334" i="30" s="1"/>
  <c r="AL31" i="19"/>
  <c r="N228" i="31" s="1"/>
  <c r="L25" i="31"/>
  <c r="V28" i="20"/>
  <c r="N25" i="31" s="1"/>
  <c r="L11" i="31"/>
  <c r="V39" i="20"/>
  <c r="N11" i="31" s="1"/>
  <c r="L280" i="31"/>
  <c r="S47" i="37"/>
  <c r="N280" i="31" s="1"/>
  <c r="I40" i="30"/>
  <c r="K34" i="30"/>
  <c r="K40" i="30" s="1"/>
  <c r="K41" i="30" s="1"/>
  <c r="E278" i="30"/>
  <c r="E291" i="30"/>
  <c r="K33" i="16"/>
  <c r="E317" i="30"/>
  <c r="E330" i="30"/>
  <c r="E304" i="30"/>
  <c r="AA48" i="16"/>
  <c r="L323" i="30" s="1"/>
  <c r="L25" i="20"/>
  <c r="E165" i="31"/>
  <c r="E23" i="31"/>
  <c r="E97" i="31"/>
  <c r="N27" i="20"/>
  <c r="L180" i="31"/>
  <c r="AL53" i="20"/>
  <c r="N180" i="31" s="1"/>
  <c r="U44" i="16"/>
  <c r="N306" i="30" s="1"/>
  <c r="E308" i="30"/>
  <c r="E321" i="30"/>
  <c r="E334" i="30"/>
  <c r="AK47" i="16"/>
  <c r="N335" i="30" s="1"/>
  <c r="L100" i="31"/>
  <c r="AD29" i="20"/>
  <c r="N100" i="31" s="1"/>
  <c r="L85" i="31"/>
  <c r="AD39" i="20"/>
  <c r="N85" i="31" s="1"/>
  <c r="T49" i="20"/>
  <c r="L179" i="31"/>
  <c r="AL52" i="20"/>
  <c r="N179" i="31" s="1"/>
  <c r="L250" i="31"/>
  <c r="AA30" i="37"/>
  <c r="Y35" i="37"/>
  <c r="L256" i="31" s="1"/>
  <c r="AI33" i="37"/>
  <c r="N266" i="31" s="1"/>
  <c r="L293" i="31"/>
  <c r="AA47" i="37"/>
  <c r="N293" i="31" s="1"/>
  <c r="AH50" i="38"/>
  <c r="M389" i="31" s="1"/>
  <c r="F88" i="31"/>
  <c r="F14" i="31"/>
  <c r="F156" i="31"/>
  <c r="AC42" i="20"/>
  <c r="M89" i="31" s="1"/>
  <c r="E252" i="31"/>
  <c r="E239" i="31"/>
  <c r="E265" i="31"/>
  <c r="E241" i="31"/>
  <c r="E254" i="31"/>
  <c r="E267" i="31"/>
  <c r="F295" i="31"/>
  <c r="F308" i="31"/>
  <c r="F282" i="31"/>
  <c r="F346" i="31"/>
  <c r="F333" i="31"/>
  <c r="F320" i="31"/>
  <c r="S45" i="38"/>
  <c r="L386" i="31"/>
  <c r="AI48" i="38"/>
  <c r="N386" i="31" s="1"/>
  <c r="E9" i="31"/>
  <c r="E151" i="31"/>
  <c r="E83" i="31"/>
  <c r="D288" i="31"/>
  <c r="D275" i="31"/>
  <c r="D301" i="31"/>
  <c r="D248" i="31"/>
  <c r="D261" i="31"/>
  <c r="D235" i="31"/>
  <c r="F252" i="31"/>
  <c r="F239" i="31"/>
  <c r="F265" i="31"/>
  <c r="F241" i="31"/>
  <c r="F254" i="31"/>
  <c r="F267" i="31"/>
  <c r="E343" i="31"/>
  <c r="E330" i="31"/>
  <c r="E317" i="31"/>
  <c r="F347" i="31"/>
  <c r="F334" i="31"/>
  <c r="F321" i="31"/>
  <c r="I84" i="30"/>
  <c r="K78" i="30"/>
  <c r="K84" i="30" s="1"/>
  <c r="K85" i="30" s="1"/>
  <c r="F228" i="31"/>
  <c r="F215" i="31"/>
  <c r="F202" i="31"/>
  <c r="AC32" i="19"/>
  <c r="M216" i="31" s="1"/>
  <c r="F165" i="31"/>
  <c r="F23" i="31"/>
  <c r="F97" i="31"/>
  <c r="N37" i="20"/>
  <c r="AK42" i="20"/>
  <c r="M157" i="31" s="1"/>
  <c r="F177" i="31"/>
  <c r="F109" i="31"/>
  <c r="F35" i="31"/>
  <c r="Q31" i="37"/>
  <c r="E268" i="31"/>
  <c r="E255" i="31"/>
  <c r="E242" i="31"/>
  <c r="K31" i="38"/>
  <c r="F335" i="31"/>
  <c r="F322" i="31"/>
  <c r="F348" i="31"/>
  <c r="T27" i="19"/>
  <c r="R31" i="37"/>
  <c r="F242" i="31"/>
  <c r="F268" i="31"/>
  <c r="F255" i="31"/>
  <c r="Z35" i="37"/>
  <c r="M256" i="31" s="1"/>
  <c r="Q31" i="38"/>
  <c r="F345" i="31"/>
  <c r="F332" i="31"/>
  <c r="F319" i="31"/>
  <c r="K35" i="38"/>
  <c r="L42" i="20"/>
  <c r="E180" i="31"/>
  <c r="E112" i="31"/>
  <c r="E38" i="31"/>
  <c r="G242" i="31"/>
  <c r="G268" i="31"/>
  <c r="G255" i="31"/>
  <c r="E306" i="31"/>
  <c r="E293" i="31"/>
  <c r="E280" i="31"/>
  <c r="L295" i="31"/>
  <c r="AA48" i="37"/>
  <c r="N295" i="31" s="1"/>
  <c r="I36" i="38"/>
  <c r="M358" i="31"/>
  <c r="R50" i="38"/>
  <c r="M363" i="31" s="1"/>
  <c r="AJ49" i="20"/>
  <c r="F180" i="31"/>
  <c r="F112" i="31"/>
  <c r="F38" i="31"/>
  <c r="AG30" i="37"/>
  <c r="F280" i="31"/>
  <c r="F306" i="31"/>
  <c r="F293" i="31"/>
  <c r="AL39" i="20"/>
  <c r="N153" i="31" s="1"/>
  <c r="AL40" i="20"/>
  <c r="N155" i="31" s="1"/>
  <c r="AD41" i="20"/>
  <c r="N88" i="31" s="1"/>
  <c r="L49" i="20"/>
  <c r="V51" i="20"/>
  <c r="N35" i="31" s="1"/>
  <c r="V52" i="20"/>
  <c r="N37" i="31" s="1"/>
  <c r="N53" i="20"/>
  <c r="I30" i="37"/>
  <c r="Q44" i="37"/>
  <c r="K46" i="37"/>
  <c r="AI47" i="37"/>
  <c r="N306" i="31" s="1"/>
  <c r="L330" i="31"/>
  <c r="Y36" i="38"/>
  <c r="L336" i="31" s="1"/>
  <c r="S35" i="38"/>
  <c r="N322" i="31" s="1"/>
  <c r="K13" i="30"/>
  <c r="E212" i="31"/>
  <c r="E199" i="31"/>
  <c r="E225" i="31"/>
  <c r="T26" i="20"/>
  <c r="E153" i="31"/>
  <c r="E11" i="31"/>
  <c r="E85" i="31"/>
  <c r="T50" i="20"/>
  <c r="AI32" i="37"/>
  <c r="N265" i="31" s="1"/>
  <c r="AA33" i="37"/>
  <c r="N253" i="31" s="1"/>
  <c r="S34" i="37"/>
  <c r="N242" i="31" s="1"/>
  <c r="E305" i="31"/>
  <c r="E279" i="31"/>
  <c r="E292" i="31"/>
  <c r="E307" i="31"/>
  <c r="E294" i="31"/>
  <c r="E281" i="31"/>
  <c r="D328" i="31"/>
  <c r="D315" i="31"/>
  <c r="D368" i="31"/>
  <c r="D381" i="31"/>
  <c r="D355" i="31"/>
  <c r="D341" i="31"/>
  <c r="Q32" i="38"/>
  <c r="L335" i="31"/>
  <c r="AA35" i="38"/>
  <c r="N335" i="31" s="1"/>
  <c r="Z36" i="38"/>
  <c r="M336" i="31" s="1"/>
  <c r="F212" i="31"/>
  <c r="F225" i="31"/>
  <c r="F199" i="31"/>
  <c r="U26" i="20"/>
  <c r="M22" i="31" s="1"/>
  <c r="AK30" i="20"/>
  <c r="M169" i="31" s="1"/>
  <c r="F153" i="31"/>
  <c r="F11" i="31"/>
  <c r="F85" i="31"/>
  <c r="U50" i="20"/>
  <c r="M34" i="31" s="1"/>
  <c r="AK54" i="20"/>
  <c r="M181" i="31" s="1"/>
  <c r="E240" i="31"/>
  <c r="E253" i="31"/>
  <c r="E266" i="31"/>
  <c r="F279" i="31"/>
  <c r="F305" i="31"/>
  <c r="F292" i="31"/>
  <c r="F307" i="31"/>
  <c r="F294" i="31"/>
  <c r="F281" i="31"/>
  <c r="AI48" i="37"/>
  <c r="N308" i="31" s="1"/>
  <c r="AA31" i="38"/>
  <c r="AI33" i="38"/>
  <c r="N345" i="31" s="1"/>
  <c r="L346" i="31"/>
  <c r="AI34" i="38"/>
  <c r="N346" i="31" s="1"/>
  <c r="E383" i="31"/>
  <c r="E370" i="31"/>
  <c r="E357" i="31"/>
  <c r="E265" i="30"/>
  <c r="F386" i="31"/>
  <c r="F373" i="31"/>
  <c r="F360" i="31"/>
  <c r="K168" i="31"/>
  <c r="H168" i="31"/>
  <c r="E345" i="31"/>
  <c r="E332" i="31"/>
  <c r="E319" i="31"/>
  <c r="E334" i="31"/>
  <c r="E347" i="31"/>
  <c r="E321" i="31"/>
  <c r="E385" i="31"/>
  <c r="E372" i="31"/>
  <c r="E359" i="31"/>
  <c r="E374" i="31"/>
  <c r="E361" i="31"/>
  <c r="E387" i="31"/>
  <c r="H198" i="30"/>
  <c r="K198" i="30"/>
  <c r="F372" i="31"/>
  <c r="F385" i="31"/>
  <c r="F359" i="31"/>
  <c r="F387" i="31"/>
  <c r="F361" i="31"/>
  <c r="F374" i="31"/>
  <c r="K65" i="30"/>
  <c r="K71" i="30" s="1"/>
  <c r="K72" i="30" s="1"/>
  <c r="K46" i="38"/>
  <c r="K8" i="30"/>
  <c r="K14" i="30" s="1"/>
  <c r="K15" i="30" s="1"/>
  <c r="E335" i="31"/>
  <c r="E322" i="31"/>
  <c r="E348" i="31"/>
  <c r="Q46" i="38"/>
  <c r="E388" i="31"/>
  <c r="E375" i="31"/>
  <c r="E362" i="31"/>
  <c r="Y50" i="38"/>
  <c r="L376" i="31" s="1"/>
  <c r="K106" i="30"/>
  <c r="K112" i="30" s="1"/>
  <c r="K113" i="30" s="1"/>
  <c r="K111" i="30"/>
  <c r="H111" i="30"/>
  <c r="AA45" i="38"/>
  <c r="F362" i="31"/>
  <c r="F375" i="31"/>
  <c r="F388" i="31"/>
  <c r="Z50" i="38"/>
  <c r="M376" i="31" s="1"/>
  <c r="Y191" i="31"/>
  <c r="O64" i="31"/>
  <c r="AB191" i="31" s="1"/>
  <c r="G362" i="31"/>
  <c r="G388" i="31"/>
  <c r="G375" i="31"/>
  <c r="AG45" i="38"/>
  <c r="H124" i="30"/>
  <c r="K243" i="30"/>
  <c r="I170" i="30"/>
  <c r="H185" i="30"/>
  <c r="H211" i="30"/>
  <c r="K303" i="31"/>
  <c r="K309" i="31" s="1"/>
  <c r="K310" i="31" s="1"/>
  <c r="I309" i="31"/>
  <c r="K256" i="30"/>
  <c r="I244" i="30"/>
  <c r="Y192" i="31"/>
  <c r="O74" i="31"/>
  <c r="AB192" i="31" s="1"/>
  <c r="H180" i="31"/>
  <c r="H112" i="31"/>
  <c r="H100" i="31"/>
  <c r="K11" i="31"/>
  <c r="N52" i="31" s="1"/>
  <c r="K113" i="31"/>
  <c r="K114" i="31" s="1"/>
  <c r="K317" i="30"/>
  <c r="K323" i="30" s="1"/>
  <c r="K324" i="30" s="1"/>
  <c r="H14" i="31"/>
  <c r="H38" i="31"/>
  <c r="K306" i="30"/>
  <c r="K310" i="30" s="1"/>
  <c r="K311" i="30" s="1"/>
  <c r="H88" i="31"/>
  <c r="K277" i="31"/>
  <c r="K283" i="31" s="1"/>
  <c r="K284" i="31" s="1"/>
  <c r="I283" i="31"/>
  <c r="K175" i="31"/>
  <c r="K181" i="31" s="1"/>
  <c r="K182" i="31" s="1"/>
  <c r="K330" i="31"/>
  <c r="K336" i="31" s="1"/>
  <c r="K337" i="31" s="1"/>
  <c r="J363" i="31"/>
  <c r="K363" i="31"/>
  <c r="K364" i="31" s="1"/>
  <c r="U28" i="16" l="1"/>
  <c r="N266" i="30" s="1"/>
  <c r="G307" i="31"/>
  <c r="L303" i="31"/>
  <c r="G252" i="31"/>
  <c r="G266" i="31"/>
  <c r="AI44" i="37"/>
  <c r="G240" i="31"/>
  <c r="N98" i="30"/>
  <c r="N54" i="30"/>
  <c r="F389" i="31"/>
  <c r="G319" i="31"/>
  <c r="F376" i="31"/>
  <c r="G361" i="31"/>
  <c r="G374" i="31"/>
  <c r="G332" i="31"/>
  <c r="G334" i="31"/>
  <c r="G321" i="31"/>
  <c r="F323" i="31"/>
  <c r="L237" i="31"/>
  <c r="G11" i="31"/>
  <c r="T30" i="20"/>
  <c r="L27" i="31" s="1"/>
  <c r="G213" i="31"/>
  <c r="G226" i="31"/>
  <c r="G200" i="31"/>
  <c r="G291" i="30"/>
  <c r="U43" i="16"/>
  <c r="N305" i="30" s="1"/>
  <c r="G304" i="30"/>
  <c r="G330" i="30"/>
  <c r="M75" i="13"/>
  <c r="M89" i="13"/>
  <c r="F83" i="30"/>
  <c r="N184" i="30"/>
  <c r="K61" i="13"/>
  <c r="E58" i="30" s="1"/>
  <c r="F254" i="30"/>
  <c r="F167" i="30"/>
  <c r="F81" i="30"/>
  <c r="AK87" i="13"/>
  <c r="N253" i="30" s="1"/>
  <c r="E167" i="30"/>
  <c r="E254" i="30"/>
  <c r="M88" i="13"/>
  <c r="E81" i="30"/>
  <c r="N13" i="30"/>
  <c r="T61" i="13"/>
  <c r="M58" i="30" s="1"/>
  <c r="N142" i="30"/>
  <c r="M74" i="13"/>
  <c r="E241" i="30"/>
  <c r="E68" i="30"/>
  <c r="E154" i="30"/>
  <c r="F154" i="30"/>
  <c r="F241" i="30"/>
  <c r="F68" i="30"/>
  <c r="F113" i="31"/>
  <c r="F181" i="31"/>
  <c r="F89" i="31"/>
  <c r="F157" i="31"/>
  <c r="L265" i="30"/>
  <c r="F336" i="31"/>
  <c r="F283" i="31"/>
  <c r="F296" i="31"/>
  <c r="T42" i="20"/>
  <c r="L15" i="31" s="1"/>
  <c r="AJ32" i="19"/>
  <c r="L229" i="31" s="1"/>
  <c r="AL27" i="19"/>
  <c r="N223" i="31" s="1"/>
  <c r="L53" i="30"/>
  <c r="L9" i="30"/>
  <c r="U56" i="13"/>
  <c r="U61" i="13" s="1"/>
  <c r="G123" i="30"/>
  <c r="L58" i="30"/>
  <c r="L14" i="30"/>
  <c r="E199" i="30"/>
  <c r="E112" i="30"/>
  <c r="G38" i="30"/>
  <c r="E225" i="30"/>
  <c r="E93" i="30"/>
  <c r="M53" i="30"/>
  <c r="E52" i="30"/>
  <c r="E138" i="30"/>
  <c r="G80" i="30"/>
  <c r="E180" i="30"/>
  <c r="G166" i="30"/>
  <c r="G211" i="30"/>
  <c r="L77" i="13"/>
  <c r="F71" i="30" s="1"/>
  <c r="D76" i="30"/>
  <c r="L238" i="30"/>
  <c r="L144" i="30"/>
  <c r="T33" i="13"/>
  <c r="M40" i="30" s="1"/>
  <c r="F169" i="30"/>
  <c r="G182" i="30"/>
  <c r="G39" i="30"/>
  <c r="G140" i="30"/>
  <c r="G227" i="30"/>
  <c r="G95" i="30"/>
  <c r="G10" i="30"/>
  <c r="M55" i="13"/>
  <c r="M61" i="13" s="1"/>
  <c r="G14" i="30" s="1"/>
  <c r="M278" i="31"/>
  <c r="R49" i="37"/>
  <c r="M283" i="31" s="1"/>
  <c r="V38" i="20"/>
  <c r="N10" i="31" s="1"/>
  <c r="N50" i="31"/>
  <c r="N55" i="31" s="1"/>
  <c r="V25" i="20"/>
  <c r="N21" i="31" s="1"/>
  <c r="U42" i="20"/>
  <c r="M15" i="31" s="1"/>
  <c r="U54" i="20"/>
  <c r="M39" i="31" s="1"/>
  <c r="S33" i="16"/>
  <c r="L271" i="30" s="1"/>
  <c r="F284" i="30"/>
  <c r="F271" i="30"/>
  <c r="L78" i="30"/>
  <c r="L206" i="30"/>
  <c r="AK27" i="13"/>
  <c r="L82" i="30"/>
  <c r="U89" i="13"/>
  <c r="N82" i="30" s="1"/>
  <c r="S33" i="13"/>
  <c r="L40" i="30" s="1"/>
  <c r="F27" i="30"/>
  <c r="F199" i="30"/>
  <c r="S47" i="13"/>
  <c r="L27" i="30" s="1"/>
  <c r="U27" i="13"/>
  <c r="N34" i="30" s="1"/>
  <c r="U41" i="13"/>
  <c r="N21" i="30" s="1"/>
  <c r="S86" i="13"/>
  <c r="S91" i="13" s="1"/>
  <c r="L84" i="30" s="1"/>
  <c r="T86" i="13"/>
  <c r="M79" i="30" s="1"/>
  <c r="G308" i="31"/>
  <c r="G282" i="31"/>
  <c r="G295" i="31"/>
  <c r="L198" i="31"/>
  <c r="V28" i="19"/>
  <c r="N198" i="31" s="1"/>
  <c r="E277" i="31"/>
  <c r="E290" i="31"/>
  <c r="E303" i="31"/>
  <c r="K44" i="37"/>
  <c r="I49" i="37"/>
  <c r="N106" i="30"/>
  <c r="AC47" i="13"/>
  <c r="L318" i="31"/>
  <c r="S32" i="38"/>
  <c r="N318" i="31" s="1"/>
  <c r="G228" i="31"/>
  <c r="G215" i="31"/>
  <c r="G202" i="31"/>
  <c r="F242" i="30"/>
  <c r="F69" i="30"/>
  <c r="F155" i="30"/>
  <c r="M240" i="30"/>
  <c r="AJ77" i="13"/>
  <c r="M244" i="30" s="1"/>
  <c r="L34" i="31"/>
  <c r="V50" i="20"/>
  <c r="N34" i="31" s="1"/>
  <c r="G267" i="30"/>
  <c r="G280" i="30"/>
  <c r="G293" i="30"/>
  <c r="N290" i="31"/>
  <c r="AA49" i="37"/>
  <c r="N78" i="30"/>
  <c r="E255" i="30"/>
  <c r="E168" i="30"/>
  <c r="E82" i="30"/>
  <c r="G98" i="30"/>
  <c r="G13" i="30"/>
  <c r="G185" i="30"/>
  <c r="G143" i="30"/>
  <c r="G57" i="30"/>
  <c r="G230" i="30"/>
  <c r="F156" i="30"/>
  <c r="F243" i="30"/>
  <c r="F70" i="30"/>
  <c r="L155" i="30"/>
  <c r="AC75" i="13"/>
  <c r="N155" i="30" s="1"/>
  <c r="T47" i="13"/>
  <c r="M27" i="30" s="1"/>
  <c r="N95" i="31"/>
  <c r="AD30" i="20"/>
  <c r="E206" i="30"/>
  <c r="E34" i="30"/>
  <c r="E119" i="30"/>
  <c r="M27" i="13"/>
  <c r="K33" i="13"/>
  <c r="E157" i="31"/>
  <c r="E89" i="31"/>
  <c r="E15" i="31"/>
  <c r="E323" i="30"/>
  <c r="E336" i="30"/>
  <c r="E310" i="30"/>
  <c r="N12" i="30"/>
  <c r="N56" i="30"/>
  <c r="G308" i="30"/>
  <c r="G321" i="30"/>
  <c r="G334" i="30"/>
  <c r="L358" i="31"/>
  <c r="S46" i="38"/>
  <c r="N358" i="31" s="1"/>
  <c r="G317" i="31"/>
  <c r="G343" i="31"/>
  <c r="G330" i="31"/>
  <c r="K36" i="38"/>
  <c r="L330" i="30"/>
  <c r="AK42" i="16"/>
  <c r="AI48" i="16"/>
  <c r="L336" i="30" s="1"/>
  <c r="N278" i="30"/>
  <c r="AC33" i="16"/>
  <c r="F310" i="30"/>
  <c r="F323" i="30"/>
  <c r="F336" i="30"/>
  <c r="M83" i="30"/>
  <c r="U90" i="13"/>
  <c r="N83" i="30" s="1"/>
  <c r="L256" i="30"/>
  <c r="AK90" i="13"/>
  <c r="N256" i="30" s="1"/>
  <c r="L193" i="30"/>
  <c r="AK41" i="13"/>
  <c r="AI47" i="13"/>
  <c r="L199" i="30" s="1"/>
  <c r="N227" i="30"/>
  <c r="N182" i="30"/>
  <c r="M33" i="16"/>
  <c r="L153" i="30"/>
  <c r="AC73" i="13"/>
  <c r="G109" i="31"/>
  <c r="G177" i="31"/>
  <c r="G35" i="31"/>
  <c r="H309" i="30"/>
  <c r="H322" i="30"/>
  <c r="H335" i="30"/>
  <c r="H270" i="30"/>
  <c r="H296" i="30"/>
  <c r="H283" i="30"/>
  <c r="H83" i="30"/>
  <c r="L383" i="31"/>
  <c r="AG50" i="38"/>
  <c r="L389" i="31" s="1"/>
  <c r="AI45" i="38"/>
  <c r="N138" i="30"/>
  <c r="N93" i="30"/>
  <c r="AC61" i="13"/>
  <c r="G270" i="30"/>
  <c r="G283" i="30"/>
  <c r="G296" i="30"/>
  <c r="AD42" i="20"/>
  <c r="N107" i="31"/>
  <c r="AD54" i="20"/>
  <c r="L238" i="31"/>
  <c r="S31" i="37"/>
  <c r="N238" i="31" s="1"/>
  <c r="G165" i="31"/>
  <c r="G97" i="31"/>
  <c r="G23" i="31"/>
  <c r="E389" i="31"/>
  <c r="E363" i="31"/>
  <c r="E376" i="31"/>
  <c r="G168" i="31"/>
  <c r="G26" i="31"/>
  <c r="G100" i="31"/>
  <c r="AD32" i="19"/>
  <c r="U30" i="20"/>
  <c r="M27" i="31" s="1"/>
  <c r="L69" i="30"/>
  <c r="U75" i="13"/>
  <c r="N69" i="30" s="1"/>
  <c r="L156" i="30"/>
  <c r="AC76" i="13"/>
  <c r="N156" i="30" s="1"/>
  <c r="L251" i="30"/>
  <c r="AI91" i="13"/>
  <c r="L257" i="30" s="1"/>
  <c r="AK85" i="13"/>
  <c r="N164" i="30"/>
  <c r="N95" i="30"/>
  <c r="N140" i="30"/>
  <c r="G309" i="30"/>
  <c r="G322" i="30"/>
  <c r="G335" i="30"/>
  <c r="E156" i="30"/>
  <c r="E243" i="30"/>
  <c r="E70" i="30"/>
  <c r="M76" i="13"/>
  <c r="G198" i="30"/>
  <c r="G26" i="30"/>
  <c r="G111" i="30"/>
  <c r="F212" i="30"/>
  <c r="F125" i="30"/>
  <c r="F40" i="30"/>
  <c r="G108" i="30"/>
  <c r="G195" i="30"/>
  <c r="D63" i="30"/>
  <c r="T72" i="13"/>
  <c r="S72" i="13"/>
  <c r="S77" i="13" s="1"/>
  <c r="L71" i="30" s="1"/>
  <c r="N250" i="31"/>
  <c r="AA35" i="37"/>
  <c r="G332" i="30"/>
  <c r="G306" i="30"/>
  <c r="G319" i="30"/>
  <c r="M231" i="30"/>
  <c r="M186" i="30"/>
  <c r="E197" i="31"/>
  <c r="E210" i="31"/>
  <c r="E223" i="31"/>
  <c r="L32" i="19"/>
  <c r="N27" i="19"/>
  <c r="L33" i="31"/>
  <c r="V49" i="20"/>
  <c r="T54" i="20"/>
  <c r="L39" i="31" s="1"/>
  <c r="AA50" i="38"/>
  <c r="N370" i="31"/>
  <c r="H169" i="30"/>
  <c r="L22" i="31"/>
  <c r="V26" i="20"/>
  <c r="N22" i="31" s="1"/>
  <c r="E323" i="31"/>
  <c r="E349" i="31"/>
  <c r="E336" i="31"/>
  <c r="G348" i="31"/>
  <c r="G322" i="31"/>
  <c r="G335" i="31"/>
  <c r="Q50" i="38"/>
  <c r="L363" i="31" s="1"/>
  <c r="N303" i="31"/>
  <c r="AI49" i="37"/>
  <c r="F169" i="31"/>
  <c r="F101" i="31"/>
  <c r="F27" i="31"/>
  <c r="G373" i="31"/>
  <c r="G386" i="31"/>
  <c r="G360" i="31"/>
  <c r="G151" i="30"/>
  <c r="G238" i="30"/>
  <c r="G65" i="30"/>
  <c r="L80" i="30"/>
  <c r="U87" i="13"/>
  <c r="N80" i="30" s="1"/>
  <c r="G208" i="30"/>
  <c r="G36" i="30"/>
  <c r="G121" i="30"/>
  <c r="AJ91" i="13"/>
  <c r="M257" i="30" s="1"/>
  <c r="K77" i="13"/>
  <c r="E155" i="30"/>
  <c r="E242" i="30"/>
  <c r="E69" i="30"/>
  <c r="Y190" i="31"/>
  <c r="O55" i="31"/>
  <c r="AB190" i="31" s="1"/>
  <c r="E250" i="31"/>
  <c r="E263" i="31"/>
  <c r="E237" i="31"/>
  <c r="I35" i="37"/>
  <c r="K30" i="37"/>
  <c r="L175" i="31"/>
  <c r="AJ54" i="20"/>
  <c r="L181" i="31" s="1"/>
  <c r="AL49" i="20"/>
  <c r="G151" i="31"/>
  <c r="G9" i="31"/>
  <c r="G83" i="31"/>
  <c r="N42" i="20"/>
  <c r="Q35" i="37"/>
  <c r="L243" i="31" s="1"/>
  <c r="N9" i="31"/>
  <c r="V42" i="20"/>
  <c r="F229" i="31"/>
  <c r="F216" i="31"/>
  <c r="F203" i="31"/>
  <c r="L65" i="30"/>
  <c r="U71" i="13"/>
  <c r="F269" i="31"/>
  <c r="F243" i="31"/>
  <c r="F256" i="31"/>
  <c r="F255" i="30"/>
  <c r="F82" i="30"/>
  <c r="F168" i="30"/>
  <c r="K91" i="13"/>
  <c r="M153" i="30"/>
  <c r="AB77" i="13"/>
  <c r="M157" i="30" s="1"/>
  <c r="G153" i="30"/>
  <c r="G240" i="30"/>
  <c r="G67" i="30"/>
  <c r="U73" i="13"/>
  <c r="N67" i="30" s="1"/>
  <c r="E175" i="31"/>
  <c r="E107" i="31"/>
  <c r="E33" i="31"/>
  <c r="N49" i="20"/>
  <c r="L54" i="20"/>
  <c r="G156" i="31"/>
  <c r="G88" i="31"/>
  <c r="G14" i="31"/>
  <c r="G280" i="31"/>
  <c r="G293" i="31"/>
  <c r="G306" i="31"/>
  <c r="N237" i="31"/>
  <c r="L343" i="31"/>
  <c r="AG36" i="38"/>
  <c r="L349" i="31" s="1"/>
  <c r="AI31" i="38"/>
  <c r="M48" i="16"/>
  <c r="L255" i="30"/>
  <c r="AK89" i="13"/>
  <c r="N255" i="30" s="1"/>
  <c r="L91" i="13"/>
  <c r="G269" i="30"/>
  <c r="G295" i="30"/>
  <c r="G282" i="30"/>
  <c r="G251" i="30"/>
  <c r="G164" i="30"/>
  <c r="G78" i="30"/>
  <c r="AA77" i="13"/>
  <c r="L157" i="30" s="1"/>
  <c r="AB91" i="13"/>
  <c r="M170" i="30" s="1"/>
  <c r="G97" i="30"/>
  <c r="G184" i="30"/>
  <c r="G142" i="30"/>
  <c r="G229" i="30"/>
  <c r="G12" i="30"/>
  <c r="G56" i="30"/>
  <c r="L242" i="30"/>
  <c r="AK75" i="13"/>
  <c r="N242" i="30" s="1"/>
  <c r="L35" i="30"/>
  <c r="U28" i="13"/>
  <c r="N35" i="30" s="1"/>
  <c r="L197" i="31"/>
  <c r="V27" i="19"/>
  <c r="T32" i="19"/>
  <c r="L203" i="31" s="1"/>
  <c r="L166" i="30"/>
  <c r="AC87" i="13"/>
  <c r="N166" i="30" s="1"/>
  <c r="AA91" i="13"/>
  <c r="L170" i="30" s="1"/>
  <c r="L291" i="30"/>
  <c r="AK27" i="16"/>
  <c r="AI33" i="16"/>
  <c r="L297" i="30" s="1"/>
  <c r="N317" i="30"/>
  <c r="AC48" i="16"/>
  <c r="N323" i="30" s="1"/>
  <c r="N185" i="30"/>
  <c r="N230" i="30"/>
  <c r="N265" i="30"/>
  <c r="U33" i="16"/>
  <c r="H256" i="30"/>
  <c r="G372" i="31"/>
  <c r="G385" i="31"/>
  <c r="G359" i="31"/>
  <c r="L263" i="31"/>
  <c r="AI30" i="37"/>
  <c r="AG35" i="37"/>
  <c r="L269" i="31" s="1"/>
  <c r="M238" i="31"/>
  <c r="R35" i="37"/>
  <c r="M243" i="31" s="1"/>
  <c r="E163" i="31"/>
  <c r="E95" i="31"/>
  <c r="E21" i="31"/>
  <c r="N25" i="20"/>
  <c r="L30" i="20"/>
  <c r="U32" i="19"/>
  <c r="M203" i="31" s="1"/>
  <c r="E284" i="30"/>
  <c r="E297" i="30"/>
  <c r="E271" i="30"/>
  <c r="L163" i="31"/>
  <c r="AJ30" i="20"/>
  <c r="L169" i="31" s="1"/>
  <c r="AL25" i="20"/>
  <c r="K50" i="38"/>
  <c r="L304" i="30"/>
  <c r="S48" i="16"/>
  <c r="L310" i="30" s="1"/>
  <c r="U42" i="16"/>
  <c r="G106" i="30"/>
  <c r="G193" i="30"/>
  <c r="G21" i="30"/>
  <c r="M47" i="13"/>
  <c r="L225" i="30"/>
  <c r="L180" i="30"/>
  <c r="AK55" i="13"/>
  <c r="AI61" i="13"/>
  <c r="E83" i="30"/>
  <c r="E256" i="30"/>
  <c r="E169" i="30"/>
  <c r="M90" i="13"/>
  <c r="L169" i="30"/>
  <c r="AC90" i="13"/>
  <c r="N169" i="30" s="1"/>
  <c r="N238" i="30"/>
  <c r="L70" i="30"/>
  <c r="U76" i="13"/>
  <c r="N70" i="30" s="1"/>
  <c r="F144" i="30"/>
  <c r="F231" i="30"/>
  <c r="F186" i="30"/>
  <c r="F58" i="30"/>
  <c r="F14" i="30"/>
  <c r="F99" i="30"/>
  <c r="AC33" i="13"/>
  <c r="AC89" i="13"/>
  <c r="N168" i="30" s="1"/>
  <c r="N8" i="30"/>
  <c r="N52" i="30"/>
  <c r="L151" i="31"/>
  <c r="AL37" i="20"/>
  <c r="AJ42" i="20"/>
  <c r="L157" i="31" s="1"/>
  <c r="N330" i="31"/>
  <c r="AA36" i="38"/>
  <c r="L277" i="31"/>
  <c r="S44" i="37"/>
  <c r="Q49" i="37"/>
  <c r="L283" i="31" s="1"/>
  <c r="G180" i="31"/>
  <c r="G112" i="31"/>
  <c r="G38" i="31"/>
  <c r="L317" i="31"/>
  <c r="Q36" i="38"/>
  <c r="L323" i="31" s="1"/>
  <c r="S31" i="38"/>
  <c r="G346" i="31"/>
  <c r="G333" i="31"/>
  <c r="G320" i="31"/>
  <c r="M144" i="30"/>
  <c r="M99" i="30"/>
  <c r="L22" i="30"/>
  <c r="U42" i="13"/>
  <c r="N22" i="30" s="1"/>
  <c r="L240" i="30"/>
  <c r="AK73" i="13"/>
  <c r="N240" i="30" s="1"/>
  <c r="AI77" i="13"/>
  <c r="L244" i="30" s="1"/>
  <c r="H156" i="30"/>
  <c r="H70" i="30"/>
  <c r="L243" i="30"/>
  <c r="AK76" i="13"/>
  <c r="N243" i="30" s="1"/>
  <c r="AL32" i="19" l="1"/>
  <c r="E99" i="30"/>
  <c r="E144" i="30"/>
  <c r="N53" i="30"/>
  <c r="E186" i="30"/>
  <c r="E14" i="30"/>
  <c r="M14" i="30"/>
  <c r="E231" i="30"/>
  <c r="N9" i="30"/>
  <c r="G154" i="30"/>
  <c r="G241" i="30"/>
  <c r="G68" i="30"/>
  <c r="G81" i="30"/>
  <c r="G254" i="30"/>
  <c r="G167" i="30"/>
  <c r="S50" i="38"/>
  <c r="S52" i="38" s="1"/>
  <c r="F244" i="30"/>
  <c r="F157" i="30"/>
  <c r="T91" i="13"/>
  <c r="M84" i="30" s="1"/>
  <c r="M91" i="13"/>
  <c r="G84" i="30" s="1"/>
  <c r="G138" i="30"/>
  <c r="G225" i="30"/>
  <c r="G52" i="30"/>
  <c r="G180" i="30"/>
  <c r="G8" i="30"/>
  <c r="G93" i="30"/>
  <c r="V30" i="20"/>
  <c r="N27" i="31" s="1"/>
  <c r="N206" i="30"/>
  <c r="AK33" i="13"/>
  <c r="N212" i="30" s="1"/>
  <c r="U86" i="13"/>
  <c r="N79" i="30" s="1"/>
  <c r="L79" i="30"/>
  <c r="AK77" i="13"/>
  <c r="N244" i="30" s="1"/>
  <c r="S35" i="37"/>
  <c r="G163" i="31"/>
  <c r="G95" i="31"/>
  <c r="G21" i="31"/>
  <c r="N30" i="20"/>
  <c r="AD32" i="20" s="1"/>
  <c r="G210" i="31"/>
  <c r="G223" i="31"/>
  <c r="G197" i="31"/>
  <c r="N32" i="19"/>
  <c r="N330" i="30"/>
  <c r="AK48" i="16"/>
  <c r="U47" i="13"/>
  <c r="G144" i="30"/>
  <c r="G99" i="30"/>
  <c r="G231" i="30"/>
  <c r="G186" i="30"/>
  <c r="G58" i="30"/>
  <c r="G199" i="30"/>
  <c r="G27" i="30"/>
  <c r="G112" i="30"/>
  <c r="N271" i="30"/>
  <c r="U35" i="16"/>
  <c r="N197" i="31"/>
  <c r="V32" i="19"/>
  <c r="E229" i="31"/>
  <c r="E203" i="31"/>
  <c r="E216" i="31"/>
  <c r="N383" i="31"/>
  <c r="AI50" i="38"/>
  <c r="N229" i="31"/>
  <c r="N151" i="31"/>
  <c r="AL42" i="20"/>
  <c r="N163" i="31"/>
  <c r="AL30" i="20"/>
  <c r="G250" i="31"/>
  <c r="G237" i="31"/>
  <c r="G263" i="31"/>
  <c r="K35" i="37"/>
  <c r="G242" i="30"/>
  <c r="G155" i="30"/>
  <c r="G69" i="30"/>
  <c r="G310" i="30"/>
  <c r="G336" i="30"/>
  <c r="G323" i="30"/>
  <c r="E256" i="31"/>
  <c r="E269" i="31"/>
  <c r="E243" i="31"/>
  <c r="M77" i="13"/>
  <c r="N113" i="31"/>
  <c r="G297" i="30"/>
  <c r="G271" i="30"/>
  <c r="G284" i="30"/>
  <c r="G336" i="31"/>
  <c r="G323" i="31"/>
  <c r="G349" i="31"/>
  <c r="E296" i="31"/>
  <c r="E283" i="31"/>
  <c r="E309" i="31"/>
  <c r="G169" i="30"/>
  <c r="G256" i="30"/>
  <c r="G83" i="30"/>
  <c r="G157" i="31"/>
  <c r="G89" i="31"/>
  <c r="G15" i="31"/>
  <c r="N309" i="31"/>
  <c r="AC91" i="13"/>
  <c r="E125" i="30"/>
  <c r="E212" i="30"/>
  <c r="E40" i="30"/>
  <c r="G277" i="31"/>
  <c r="G290" i="31"/>
  <c r="G303" i="31"/>
  <c r="K49" i="37"/>
  <c r="N225" i="30"/>
  <c r="N180" i="30"/>
  <c r="AK61" i="13"/>
  <c r="E157" i="30"/>
  <c r="E244" i="30"/>
  <c r="E71" i="30"/>
  <c r="N101" i="31"/>
  <c r="N296" i="31"/>
  <c r="N256" i="31"/>
  <c r="E170" i="30"/>
  <c r="E84" i="30"/>
  <c r="E257" i="30"/>
  <c r="N153" i="30"/>
  <c r="AC77" i="13"/>
  <c r="N304" i="30"/>
  <c r="U48" i="16"/>
  <c r="N343" i="31"/>
  <c r="AI36" i="38"/>
  <c r="L66" i="30"/>
  <c r="U72" i="13"/>
  <c r="N66" i="30" s="1"/>
  <c r="G243" i="30"/>
  <c r="G70" i="30"/>
  <c r="G156" i="30"/>
  <c r="N89" i="31"/>
  <c r="AD44" i="20"/>
  <c r="G206" i="30"/>
  <c r="G119" i="30"/>
  <c r="G34" i="30"/>
  <c r="M33" i="13"/>
  <c r="G168" i="30"/>
  <c r="G82" i="30"/>
  <c r="G255" i="30"/>
  <c r="N376" i="31"/>
  <c r="AA52" i="38"/>
  <c r="N291" i="30"/>
  <c r="AK33" i="16"/>
  <c r="N175" i="31"/>
  <c r="AL54" i="20"/>
  <c r="N277" i="31"/>
  <c r="S49" i="37"/>
  <c r="N125" i="30"/>
  <c r="N65" i="30"/>
  <c r="N15" i="31"/>
  <c r="V44" i="20"/>
  <c r="M66" i="30"/>
  <c r="T77" i="13"/>
  <c r="M71" i="30" s="1"/>
  <c r="N251" i="30"/>
  <c r="AK91" i="13"/>
  <c r="N144" i="30"/>
  <c r="N99" i="30"/>
  <c r="AC63" i="13"/>
  <c r="G389" i="31"/>
  <c r="G363" i="31"/>
  <c r="G376" i="31"/>
  <c r="N263" i="31"/>
  <c r="AI35" i="37"/>
  <c r="F170" i="30"/>
  <c r="F84" i="30"/>
  <c r="F257" i="30"/>
  <c r="E181" i="31"/>
  <c r="E113" i="31"/>
  <c r="E39" i="31"/>
  <c r="N33" i="31"/>
  <c r="V54" i="20"/>
  <c r="E169" i="31"/>
  <c r="E101" i="31"/>
  <c r="E27" i="31"/>
  <c r="N112" i="30"/>
  <c r="AC49" i="13"/>
  <c r="N317" i="31"/>
  <c r="S36" i="38"/>
  <c r="N336" i="31"/>
  <c r="AA38" i="38"/>
  <c r="N58" i="30"/>
  <c r="N14" i="30"/>
  <c r="U63" i="13"/>
  <c r="L231" i="30"/>
  <c r="L186" i="30"/>
  <c r="AC50" i="16"/>
  <c r="U33" i="13"/>
  <c r="G175" i="31"/>
  <c r="G107" i="31"/>
  <c r="G33" i="31"/>
  <c r="N54" i="20"/>
  <c r="N216" i="31"/>
  <c r="N193" i="30"/>
  <c r="AK47" i="13"/>
  <c r="N284" i="30"/>
  <c r="AC35" i="16"/>
  <c r="N377" i="31" l="1"/>
  <c r="U77" i="13"/>
  <c r="N337" i="31"/>
  <c r="G203" i="31"/>
  <c r="N363" i="31"/>
  <c r="N364" i="31" s="1"/>
  <c r="AD34" i="19"/>
  <c r="AL34" i="19"/>
  <c r="S37" i="37"/>
  <c r="G170" i="30"/>
  <c r="G257" i="30"/>
  <c r="U91" i="13"/>
  <c r="N84" i="30" s="1"/>
  <c r="N324" i="30"/>
  <c r="AK79" i="13"/>
  <c r="N243" i="31"/>
  <c r="G269" i="31"/>
  <c r="G256" i="31"/>
  <c r="N257" i="31" s="1"/>
  <c r="G243" i="31"/>
  <c r="N27" i="30"/>
  <c r="U49" i="13"/>
  <c r="N283" i="31"/>
  <c r="N284" i="31" s="1"/>
  <c r="S51" i="37"/>
  <c r="N90" i="31"/>
  <c r="N169" i="31"/>
  <c r="AL32" i="20"/>
  <c r="N336" i="30"/>
  <c r="N337" i="30" s="1"/>
  <c r="AK50" i="16"/>
  <c r="N15" i="30"/>
  <c r="N59" i="30"/>
  <c r="N157" i="31"/>
  <c r="AL44" i="20"/>
  <c r="G101" i="31"/>
  <c r="G27" i="31"/>
  <c r="N28" i="31" s="1"/>
  <c r="G169" i="31"/>
  <c r="N113" i="30"/>
  <c r="N39" i="31"/>
  <c r="V56" i="20"/>
  <c r="N16" i="31"/>
  <c r="N71" i="30"/>
  <c r="U79" i="13"/>
  <c r="N181" i="31"/>
  <c r="AL56" i="20"/>
  <c r="N170" i="30"/>
  <c r="AC93" i="13"/>
  <c r="N203" i="31"/>
  <c r="V34" i="19"/>
  <c r="G125" i="30"/>
  <c r="G212" i="30"/>
  <c r="G40" i="30"/>
  <c r="AK35" i="13"/>
  <c r="G181" i="31"/>
  <c r="G113" i="31"/>
  <c r="N143" i="31" s="1"/>
  <c r="G39" i="31"/>
  <c r="G309" i="31"/>
  <c r="N310" i="31" s="1"/>
  <c r="G296" i="31"/>
  <c r="N297" i="31" s="1"/>
  <c r="G283" i="31"/>
  <c r="N40" i="30"/>
  <c r="U35" i="13"/>
  <c r="N100" i="30"/>
  <c r="N297" i="30"/>
  <c r="N298" i="30" s="1"/>
  <c r="AK35" i="16"/>
  <c r="AA37" i="37"/>
  <c r="AD56" i="20"/>
  <c r="N389" i="31"/>
  <c r="N390" i="31" s="1"/>
  <c r="AI52" i="38"/>
  <c r="N272" i="30"/>
  <c r="N269" i="31"/>
  <c r="AI37" i="37"/>
  <c r="N285" i="30"/>
  <c r="N145" i="30"/>
  <c r="N310" i="30"/>
  <c r="N311" i="30" s="1"/>
  <c r="U50" i="16"/>
  <c r="AI51" i="37"/>
  <c r="V32" i="20"/>
  <c r="N323" i="31"/>
  <c r="N324" i="31" s="1"/>
  <c r="S38" i="38"/>
  <c r="N199" i="30"/>
  <c r="AK49" i="13"/>
  <c r="N257" i="30"/>
  <c r="AK93" i="13"/>
  <c r="AC35" i="13"/>
  <c r="G157" i="30"/>
  <c r="G244" i="30"/>
  <c r="G71" i="30"/>
  <c r="N349" i="31"/>
  <c r="N350" i="31" s="1"/>
  <c r="AI38" i="38"/>
  <c r="AC79" i="13"/>
  <c r="N157" i="30"/>
  <c r="AA51" i="37"/>
  <c r="N231" i="30"/>
  <c r="N186" i="30"/>
  <c r="AK63" i="13"/>
  <c r="G229" i="31"/>
  <c r="N230" i="31" s="1"/>
  <c r="G216" i="31"/>
  <c r="N217" i="31" s="1"/>
  <c r="N204" i="31" l="1"/>
  <c r="N244" i="31"/>
  <c r="N270" i="31"/>
  <c r="U93" i="13"/>
  <c r="N114" i="31"/>
  <c r="N182" i="31"/>
  <c r="N158" i="31"/>
  <c r="N85" i="30"/>
  <c r="N126" i="30"/>
  <c r="N200" i="30"/>
  <c r="N41" i="30"/>
  <c r="N258" i="30"/>
  <c r="N72" i="30"/>
  <c r="N170" i="31"/>
  <c r="N187" i="30"/>
  <c r="N232" i="30"/>
  <c r="N28" i="30"/>
  <c r="N102" i="31"/>
  <c r="N213" i="30"/>
  <c r="N158" i="30"/>
  <c r="N171" i="30"/>
  <c r="G114" i="31"/>
  <c r="N245" i="30"/>
  <c r="N40" i="31"/>
</calcChain>
</file>

<file path=xl/sharedStrings.xml><?xml version="1.0" encoding="utf-8"?>
<sst xmlns="http://schemas.openxmlformats.org/spreadsheetml/2006/main" count="3047" uniqueCount="168">
  <si>
    <t>Average Customer</t>
  </si>
  <si>
    <t>Approved Margin Bill</t>
  </si>
  <si>
    <t>Approved Energy Bill</t>
  </si>
  <si>
    <t>Nov 2019 Approved Total Rates</t>
  </si>
  <si>
    <t>Margin Unit Rates</t>
  </si>
  <si>
    <t>SFV Margin Bill</t>
  </si>
  <si>
    <t>Total SFV + Energy Bill</t>
  </si>
  <si>
    <t>Volume</t>
  </si>
  <si>
    <t>m³</t>
  </si>
  <si>
    <t>Daily Demand</t>
  </si>
  <si>
    <t>Customer</t>
  </si>
  <si>
    <t>$</t>
  </si>
  <si>
    <t>Distribution</t>
  </si>
  <si>
    <t>Load Balancing</t>
  </si>
  <si>
    <t>Transportation</t>
  </si>
  <si>
    <t>Sales - Commodity</t>
  </si>
  <si>
    <t>Total</t>
  </si>
  <si>
    <t>Small Customer</t>
  </si>
  <si>
    <t>Large Customer</t>
  </si>
  <si>
    <t>SFV Results - Load Factor Variation</t>
  </si>
  <si>
    <t>Average Customer, Average Load Factor</t>
  </si>
  <si>
    <t>Average Customer, Low Load Factor</t>
  </si>
  <si>
    <t>Average Customer, High Load Factor</t>
  </si>
  <si>
    <t>SFVD Results - Size Variation</t>
  </si>
  <si>
    <t>Bill Index</t>
  </si>
  <si>
    <t>SFVD Results - Load Factor Variation</t>
  </si>
  <si>
    <t>Small</t>
  </si>
  <si>
    <t>Large</t>
  </si>
  <si>
    <t>Load Factor</t>
  </si>
  <si>
    <t>Average: 29%</t>
  </si>
  <si>
    <t>Low: 14%</t>
  </si>
  <si>
    <t>High: 46%</t>
  </si>
  <si>
    <t>LEGD Rate 1 - Residential Typical Profile</t>
  </si>
  <si>
    <t>2024 Rates</t>
  </si>
  <si>
    <t>Harmonized, New Rates (SFVD)</t>
  </si>
  <si>
    <t>Harmonized, New Rates (SFV)</t>
  </si>
  <si>
    <t>Harmonized, New Rates (Vol)</t>
  </si>
  <si>
    <t>Gas Costs</t>
  </si>
  <si>
    <t>E01 - Small</t>
  </si>
  <si>
    <t>Monthly Charge ($/mo)</t>
  </si>
  <si>
    <t>Monthly Delivery Charge</t>
  </si>
  <si>
    <t>First     30 m³</t>
  </si>
  <si>
    <t>Monthly Delivery Demand Charge</t>
  </si>
  <si>
    <t>Next     55 m³</t>
  </si>
  <si>
    <t>Delivery Commodity Charge</t>
  </si>
  <si>
    <t>Next     85 m³</t>
  </si>
  <si>
    <t>Transportation Charges</t>
  </si>
  <si>
    <t>Over  170 m³</t>
  </si>
  <si>
    <t>Gas Supply Commodity</t>
  </si>
  <si>
    <t>Federal Carbon</t>
  </si>
  <si>
    <t xml:space="preserve">Western Transportation </t>
  </si>
  <si>
    <t xml:space="preserve">Dawn Transportation </t>
  </si>
  <si>
    <t>E02 - General</t>
  </si>
  <si>
    <t>2024 Transportation</t>
  </si>
  <si>
    <t>2024 Western Transportation</t>
  </si>
  <si>
    <t>System Commodity</t>
  </si>
  <si>
    <t>Harmonized, New Rates SFVD</t>
  </si>
  <si>
    <t>Harmonized, New Rates SFV</t>
  </si>
  <si>
    <t>Harmonized, New Rates Vol</t>
  </si>
  <si>
    <t>Rates</t>
  </si>
  <si>
    <t>Distribution Only</t>
  </si>
  <si>
    <t>Commodity Charge</t>
  </si>
  <si>
    <t>Total Bill</t>
  </si>
  <si>
    <t>VOLUME</t>
  </si>
  <si>
    <t>DAILY DEMAND</t>
  </si>
  <si>
    <t>MONTHLY CHG.</t>
  </si>
  <si>
    <t>CUSTOMER CHG.</t>
  </si>
  <si>
    <t>DEMAND CHARGE</t>
  </si>
  <si>
    <t>DELIVERY CHG.</t>
  </si>
  <si>
    <t>DELIVERY COMMODITY</t>
  </si>
  <si>
    <t>LOAD BALANCING</t>
  </si>
  <si>
    <t>TRANSPORTATION</t>
  </si>
  <si>
    <t>SYSTEM COMMODITY</t>
  </si>
  <si>
    <t>GAS SUPPLY COMMODITY</t>
  </si>
  <si>
    <t>TOTAL SALES</t>
  </si>
  <si>
    <t xml:space="preserve">Bill Index vs Current </t>
  </si>
  <si>
    <t xml:space="preserve"> </t>
  </si>
  <si>
    <t>EXTREME LOAD FACTORS</t>
  </si>
  <si>
    <t>Low Load Factor</t>
  </si>
  <si>
    <t>High Load Factor</t>
  </si>
  <si>
    <t>LEGD Rate 6 - Residential Typical Profile</t>
  </si>
  <si>
    <t>First      500 m³</t>
  </si>
  <si>
    <t>Next      1,050 m³</t>
  </si>
  <si>
    <t>Next    4,500 m³</t>
  </si>
  <si>
    <t>Next    7,000 m³</t>
  </si>
  <si>
    <t>Next    15,250 m³</t>
  </si>
  <si>
    <t>Over  28,300 m³</t>
  </si>
  <si>
    <t>Union South Rate M1 - LUG Typical Customers</t>
  </si>
  <si>
    <t xml:space="preserve"> Harmonized, New Rates (SFVD)</t>
  </si>
  <si>
    <t xml:space="preserve"> 2024 Rates</t>
  </si>
  <si>
    <t>First              100 m³</t>
  </si>
  <si>
    <t>Next              150 m³</t>
  </si>
  <si>
    <t>All over         250 m³</t>
  </si>
  <si>
    <t>Storage</t>
  </si>
  <si>
    <t>Monthly Charge</t>
  </si>
  <si>
    <t>Demand</t>
  </si>
  <si>
    <t>Delivery Charge</t>
  </si>
  <si>
    <t>Delivery Commodity</t>
  </si>
  <si>
    <t xml:space="preserve">Commodity </t>
  </si>
  <si>
    <t>Union South Rate M2 - LUG Typical Customers</t>
  </si>
  <si>
    <t xml:space="preserve"> Harmonized, New Rates (SFV)</t>
  </si>
  <si>
    <t>First              1,000 m³</t>
  </si>
  <si>
    <t>Next              6,000 m³</t>
  </si>
  <si>
    <t>Next            13,000 m³</t>
  </si>
  <si>
    <t>All over       20,000 m³</t>
  </si>
  <si>
    <t xml:space="preserve">System Commodity </t>
  </si>
  <si>
    <t>Typical</t>
  </si>
  <si>
    <t>Low LF</t>
  </si>
  <si>
    <t>High LF</t>
  </si>
  <si>
    <t>Union North Rate 1 - LUG Typical Customers</t>
  </si>
  <si>
    <t>Monthly Delivery Charge - All Zones</t>
  </si>
  <si>
    <t>First     100 m³</t>
  </si>
  <si>
    <t>Next     200 m³</t>
  </si>
  <si>
    <t>Next     500 m³</t>
  </si>
  <si>
    <t>Over  1,000 m³</t>
  </si>
  <si>
    <t/>
  </si>
  <si>
    <t>Transportation - North West</t>
  </si>
  <si>
    <t>Transportation - North East</t>
  </si>
  <si>
    <t xml:space="preserve">Storage - North West </t>
  </si>
  <si>
    <t xml:space="preserve">Storage - North East </t>
  </si>
  <si>
    <t>System Commodity - North West</t>
  </si>
  <si>
    <t>System Commodity - North East</t>
  </si>
  <si>
    <t>WEST</t>
  </si>
  <si>
    <t xml:space="preserve"> Harmonized, New Rates (Vol)</t>
  </si>
  <si>
    <t>Monthly Customer Charge ($/mo)</t>
  </si>
  <si>
    <t>Delivery Chrg</t>
  </si>
  <si>
    <t>Storage - North West</t>
  </si>
  <si>
    <t>EAST</t>
  </si>
  <si>
    <t>Storage - North East</t>
  </si>
  <si>
    <t>Union North Rate 10 - LUG Typical Customers</t>
  </si>
  <si>
    <t>First      1,000 m³</t>
  </si>
  <si>
    <t>Next      9,000 m³</t>
  </si>
  <si>
    <t>Next    20,000 m³</t>
  </si>
  <si>
    <t>Next    70,000 m³</t>
  </si>
  <si>
    <t>Over  100,000 m³</t>
  </si>
  <si>
    <t>2024  Transportation</t>
  </si>
  <si>
    <t>Legacy Rate Design</t>
  </si>
  <si>
    <t>Proposed Rate Design: SFVD, Harmonized</t>
  </si>
  <si>
    <t>Delivery</t>
  </si>
  <si>
    <t>SFV Results - Size Variation</t>
  </si>
  <si>
    <t>Proposed Rate Design: SFV, Harmonized</t>
  </si>
  <si>
    <t>Volumetric Results - Size Variation</t>
  </si>
  <si>
    <t>Proposed Rate Design: Volumetric, Harmonized</t>
  </si>
  <si>
    <t>Volumetric Results - Load Factor Variation</t>
  </si>
  <si>
    <t>Rate R6 Customer</t>
  </si>
  <si>
    <t>Rate M1 Customer</t>
  </si>
  <si>
    <t>Rate 01 Customer - WEST</t>
  </si>
  <si>
    <t xml:space="preserve">Rate 01 Customer - EAST </t>
  </si>
  <si>
    <t>Rate 10 Customer - WEST</t>
  </si>
  <si>
    <t>Rate 10 Customer - EAST</t>
  </si>
  <si>
    <t>Load Factors</t>
  </si>
  <si>
    <t>LEGD</t>
  </si>
  <si>
    <t>LUG</t>
  </si>
  <si>
    <t>COM above 50,000</t>
  </si>
  <si>
    <t>COM below 15,000</t>
  </si>
  <si>
    <t>COM between 15,000 and 50,000</t>
  </si>
  <si>
    <t>IND above 50,000</t>
  </si>
  <si>
    <t>IND below 15,000</t>
  </si>
  <si>
    <t>IND between 15,000 and 50,000</t>
  </si>
  <si>
    <t>RES above 50,000</t>
  </si>
  <si>
    <t>RES below 15,000</t>
  </si>
  <si>
    <t>RES between 15,000 and 50,000</t>
  </si>
  <si>
    <t>Enbridge Gas Load Factors</t>
  </si>
  <si>
    <t>R1</t>
  </si>
  <si>
    <t>R6</t>
  </si>
  <si>
    <t>Standard deviation</t>
  </si>
  <si>
    <t>M1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</si>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</sst>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_);_(@_)"/>
    <numFmt numFmtId="167" formatCode="dd\-mmm\-yyyy"/>
    <numFmt numFmtId="168" formatCode="_(* #,##0_);_(* \(#,##0\);_(* &quot;-&quot;??_);_(@_)"/>
    <numFmt numFmtId="169" formatCode="_(* #,##0.000_);_(* \(#,##0.000\);_(* &quot;-&quot;??_);_(@_)"/>
    <numFmt numFmtId="170" formatCode="[$-409]d\-mmm;@"/>
    <numFmt numFmtId="171" formatCode="0.000"/>
    <numFmt numFmtId="172" formatCode="#,##0.000_);\(#,##0.000\)"/>
    <numFmt numFmtId="173" formatCode="_-* #,##0_-;\-* #,##0_-;_-* &quot;-&quot;??_-;_-@_-"/>
    <numFmt numFmtId="174" formatCode="_-* #,##0.00_-;\-* #,##0.0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CC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5" tint="-0.49995422223578601"/>
      <name val="Arial"/>
      <family val="2"/>
    </font>
    <font>
      <b/>
      <sz val="11"/>
      <color rgb="FF0000FF"/>
      <name val="Arial"/>
      <family val="2"/>
    </font>
    <font>
      <b/>
      <sz val="11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11"/>
      <color rgb="FF0000CC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 MT"/>
    </font>
    <font>
      <b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30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65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/>
    <xf numFmtId="167" fontId="4" fillId="0" borderId="0" xfId="0" quotePrefix="1" applyNumberFormat="1" applyFont="1" applyAlignment="1">
      <alignment horizontal="center" wrapText="1"/>
    </xf>
    <xf numFmtId="0" fontId="3" fillId="0" borderId="0" xfId="0" applyFont="1"/>
    <xf numFmtId="164" fontId="4" fillId="0" borderId="0" xfId="0" applyNumberFormat="1" applyFont="1" applyAlignment="1">
      <alignment horizontal="left"/>
    </xf>
    <xf numFmtId="37" fontId="3" fillId="0" borderId="0" xfId="0" applyNumberFormat="1" applyFont="1"/>
    <xf numFmtId="37" fontId="8" fillId="0" borderId="5" xfId="0" applyNumberFormat="1" applyFont="1" applyBorder="1"/>
    <xf numFmtId="164" fontId="3" fillId="0" borderId="0" xfId="0" applyNumberFormat="1" applyFont="1" applyAlignment="1">
      <alignment horizontal="left"/>
    </xf>
    <xf numFmtId="39" fontId="3" fillId="0" borderId="0" xfId="0" applyNumberFormat="1" applyFont="1"/>
    <xf numFmtId="3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9" fontId="4" fillId="0" borderId="1" xfId="0" applyNumberFormat="1" applyFont="1" applyBorder="1"/>
    <xf numFmtId="49" fontId="4" fillId="0" borderId="0" xfId="0" applyNumberFormat="1" applyFont="1"/>
    <xf numFmtId="37" fontId="8" fillId="0" borderId="0" xfId="0" applyNumberFormat="1" applyFont="1"/>
    <xf numFmtId="0" fontId="10" fillId="0" borderId="1" xfId="0" applyFont="1" applyBorder="1"/>
    <xf numFmtId="169" fontId="0" fillId="0" borderId="0" xfId="1" applyNumberFormat="1" applyFont="1"/>
    <xf numFmtId="39" fontId="8" fillId="0" borderId="5" xfId="0" applyNumberFormat="1" applyFont="1" applyBorder="1"/>
    <xf numFmtId="49" fontId="11" fillId="0" borderId="0" xfId="0" applyNumberFormat="1" applyFont="1" applyAlignment="1">
      <alignment horizontal="left"/>
    </xf>
    <xf numFmtId="0" fontId="11" fillId="0" borderId="0" xfId="0" applyFont="1"/>
    <xf numFmtId="170" fontId="15" fillId="0" borderId="0" xfId="0" applyNumberFormat="1" applyFont="1" applyAlignment="1">
      <alignment horizontal="center" wrapText="1"/>
    </xf>
    <xf numFmtId="170" fontId="15" fillId="0" borderId="0" xfId="0" applyNumberFormat="1" applyFont="1" applyAlignment="1">
      <alignment horizontal="right" wrapText="1"/>
    </xf>
    <xf numFmtId="0" fontId="14" fillId="0" borderId="0" xfId="0" applyFont="1"/>
    <xf numFmtId="167" fontId="12" fillId="0" borderId="0" xfId="0" quotePrefix="1" applyNumberFormat="1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7" fontId="11" fillId="0" borderId="0" xfId="0" applyNumberFormat="1" applyFont="1"/>
    <xf numFmtId="164" fontId="11" fillId="0" borderId="0" xfId="0" applyNumberFormat="1" applyFont="1" applyAlignment="1">
      <alignment horizontal="left"/>
    </xf>
    <xf numFmtId="39" fontId="11" fillId="0" borderId="0" xfId="0" applyNumberFormat="1" applyFont="1"/>
    <xf numFmtId="39" fontId="11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left"/>
    </xf>
    <xf numFmtId="39" fontId="14" fillId="0" borderId="0" xfId="0" applyNumberFormat="1" applyFont="1"/>
    <xf numFmtId="0" fontId="17" fillId="0" borderId="1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0" fontId="14" fillId="0" borderId="1" xfId="0" applyFont="1" applyBorder="1"/>
    <xf numFmtId="0" fontId="0" fillId="0" borderId="1" xfId="0" applyBorder="1"/>
    <xf numFmtId="43" fontId="5" fillId="0" borderId="0" xfId="1" applyFont="1"/>
    <xf numFmtId="164" fontId="9" fillId="0" borderId="1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39" fontId="4" fillId="0" borderId="0" xfId="0" applyNumberFormat="1" applyFont="1"/>
    <xf numFmtId="0" fontId="0" fillId="3" borderId="0" xfId="0" applyFill="1"/>
    <xf numFmtId="0" fontId="18" fillId="3" borderId="0" xfId="0" applyFont="1" applyFill="1"/>
    <xf numFmtId="166" fontId="3" fillId="0" borderId="0" xfId="1" applyNumberFormat="1" applyFont="1" applyFill="1" applyAlignment="1"/>
    <xf numFmtId="1" fontId="19" fillId="0" borderId="0" xfId="2" applyNumberFormat="1"/>
    <xf numFmtId="43" fontId="0" fillId="0" borderId="0" xfId="0" applyNumberFormat="1"/>
    <xf numFmtId="0" fontId="3" fillId="0" borderId="0" xfId="0" applyFont="1" applyAlignment="1">
      <alignment horizontal="center" wrapText="1"/>
    </xf>
    <xf numFmtId="39" fontId="8" fillId="0" borderId="0" xfId="0" applyNumberFormat="1" applyFont="1"/>
    <xf numFmtId="167" fontId="3" fillId="0" borderId="0" xfId="0" quotePrefix="1" applyNumberFormat="1" applyFont="1" applyAlignment="1">
      <alignment horizontal="center" wrapText="1"/>
    </xf>
    <xf numFmtId="39" fontId="12" fillId="0" borderId="0" xfId="0" applyNumberFormat="1" applyFont="1" applyAlignment="1">
      <alignment horizontal="right"/>
    </xf>
    <xf numFmtId="39" fontId="13" fillId="0" borderId="0" xfId="0" applyNumberFormat="1" applyFont="1"/>
    <xf numFmtId="171" fontId="13" fillId="0" borderId="1" xfId="0" applyNumberFormat="1" applyFont="1" applyBorder="1"/>
    <xf numFmtId="0" fontId="11" fillId="0" borderId="0" xfId="0" applyFont="1" applyAlignment="1">
      <alignment horizontal="center" wrapText="1"/>
    </xf>
    <xf numFmtId="167" fontId="11" fillId="0" borderId="0" xfId="0" quotePrefix="1" applyNumberFormat="1" applyFont="1" applyAlignment="1">
      <alignment horizontal="center" wrapText="1"/>
    </xf>
    <xf numFmtId="43" fontId="11" fillId="0" borderId="0" xfId="0" applyNumberFormat="1" applyFont="1"/>
    <xf numFmtId="39" fontId="21" fillId="0" borderId="1" xfId="0" applyNumberFormat="1" applyFont="1" applyBorder="1"/>
    <xf numFmtId="39" fontId="21" fillId="0" borderId="1" xfId="0" applyNumberFormat="1" applyFont="1" applyBorder="1" applyAlignment="1">
      <alignment horizontal="right"/>
    </xf>
    <xf numFmtId="39" fontId="0" fillId="0" borderId="0" xfId="0" applyNumberFormat="1"/>
    <xf numFmtId="165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1" applyFont="1"/>
    <xf numFmtId="165" fontId="13" fillId="0" borderId="0" xfId="0" applyNumberFormat="1" applyFont="1"/>
    <xf numFmtId="2" fontId="11" fillId="0" borderId="0" xfId="0" applyNumberFormat="1" applyFont="1"/>
    <xf numFmtId="43" fontId="12" fillId="0" borderId="0" xfId="1" applyFont="1" applyFill="1"/>
    <xf numFmtId="39" fontId="12" fillId="0" borderId="1" xfId="0" applyNumberFormat="1" applyFont="1" applyBorder="1"/>
    <xf numFmtId="43" fontId="0" fillId="0" borderId="0" xfId="1" applyFont="1" applyFill="1"/>
    <xf numFmtId="0" fontId="11" fillId="0" borderId="0" xfId="0" applyFont="1" applyAlignment="1">
      <alignment horizontal="center"/>
    </xf>
    <xf numFmtId="49" fontId="12" fillId="0" borderId="0" xfId="0" applyNumberFormat="1" applyFont="1"/>
    <xf numFmtId="43" fontId="21" fillId="0" borderId="1" xfId="1" applyFont="1" applyBorder="1"/>
    <xf numFmtId="2" fontId="14" fillId="0" borderId="0" xfId="0" applyNumberFormat="1" applyFont="1"/>
    <xf numFmtId="164" fontId="12" fillId="0" borderId="0" xfId="0" applyNumberFormat="1" applyFont="1" applyAlignment="1">
      <alignment horizontal="left"/>
    </xf>
    <xf numFmtId="0" fontId="12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49" fontId="11" fillId="0" borderId="0" xfId="0" applyNumberFormat="1" applyFont="1"/>
    <xf numFmtId="0" fontId="11" fillId="0" borderId="0" xfId="0" quotePrefix="1" applyFont="1" applyAlignment="1">
      <alignment horizontal="center"/>
    </xf>
    <xf numFmtId="37" fontId="22" fillId="0" borderId="5" xfId="0" applyNumberFormat="1" applyFont="1" applyBorder="1"/>
    <xf numFmtId="37" fontId="22" fillId="0" borderId="0" xfId="0" applyNumberFormat="1" applyFont="1"/>
    <xf numFmtId="39" fontId="22" fillId="0" borderId="5" xfId="0" applyNumberFormat="1" applyFont="1" applyBorder="1"/>
    <xf numFmtId="39" fontId="22" fillId="0" borderId="0" xfId="0" applyNumberFormat="1" applyFont="1"/>
    <xf numFmtId="39" fontId="12" fillId="0" borderId="0" xfId="0" applyNumberFormat="1" applyFont="1"/>
    <xf numFmtId="0" fontId="11" fillId="0" borderId="1" xfId="0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5" borderId="0" xfId="0" applyFill="1"/>
    <xf numFmtId="0" fontId="23" fillId="5" borderId="0" xfId="0" applyFont="1" applyFill="1" applyAlignment="1">
      <alignment horizontal="center" vertical="center" wrapText="1"/>
    </xf>
    <xf numFmtId="167" fontId="24" fillId="5" borderId="0" xfId="0" quotePrefix="1" applyNumberFormat="1" applyFont="1" applyFill="1" applyAlignment="1">
      <alignment horizontal="center" vertical="center" wrapText="1"/>
    </xf>
    <xf numFmtId="167" fontId="23" fillId="5" borderId="0" xfId="0" quotePrefix="1" applyNumberFormat="1" applyFont="1" applyFill="1" applyAlignment="1">
      <alignment horizontal="center" vertical="center" wrapText="1"/>
    </xf>
    <xf numFmtId="167" fontId="24" fillId="5" borderId="0" xfId="0" applyNumberFormat="1" applyFont="1" applyFill="1" applyAlignment="1">
      <alignment horizontal="center" vertical="center" wrapText="1"/>
    </xf>
    <xf numFmtId="164" fontId="24" fillId="5" borderId="0" xfId="0" applyNumberFormat="1" applyFont="1" applyFill="1" applyAlignment="1">
      <alignment horizontal="left"/>
    </xf>
    <xf numFmtId="0" fontId="23" fillId="5" borderId="0" xfId="0" applyFont="1" applyFill="1" applyAlignment="1">
      <alignment horizontal="center"/>
    </xf>
    <xf numFmtId="37" fontId="23" fillId="5" borderId="0" xfId="0" applyNumberFormat="1" applyFont="1" applyFill="1"/>
    <xf numFmtId="49" fontId="24" fillId="5" borderId="0" xfId="0" applyNumberFormat="1" applyFont="1" applyFill="1"/>
    <xf numFmtId="0" fontId="23" fillId="5" borderId="0" xfId="0" applyFont="1" applyFill="1"/>
    <xf numFmtId="0" fontId="26" fillId="5" borderId="0" xfId="0" applyFont="1" applyFill="1"/>
    <xf numFmtId="49" fontId="27" fillId="5" borderId="0" xfId="0" applyNumberFormat="1" applyFont="1" applyFill="1" applyAlignment="1">
      <alignment vertical="center"/>
    </xf>
    <xf numFmtId="164" fontId="23" fillId="5" borderId="9" xfId="0" applyNumberFormat="1" applyFont="1" applyFill="1" applyBorder="1" applyAlignment="1">
      <alignment horizontal="left"/>
    </xf>
    <xf numFmtId="0" fontId="23" fillId="5" borderId="9" xfId="0" applyFont="1" applyFill="1" applyBorder="1" applyAlignment="1">
      <alignment horizontal="center"/>
    </xf>
    <xf numFmtId="43" fontId="23" fillId="5" borderId="9" xfId="1" applyFont="1" applyFill="1" applyBorder="1" applyAlignment="1">
      <alignment horizontal="center"/>
    </xf>
    <xf numFmtId="39" fontId="23" fillId="5" borderId="9" xfId="0" applyNumberFormat="1" applyFont="1" applyFill="1" applyBorder="1"/>
    <xf numFmtId="39" fontId="0" fillId="5" borderId="9" xfId="0" applyNumberFormat="1" applyFill="1" applyBorder="1"/>
    <xf numFmtId="166" fontId="23" fillId="5" borderId="9" xfId="1" applyNumberFormat="1" applyFont="1" applyFill="1" applyBorder="1" applyAlignment="1">
      <alignment horizontal="center"/>
    </xf>
    <xf numFmtId="0" fontId="0" fillId="5" borderId="9" xfId="0" applyFill="1" applyBorder="1"/>
    <xf numFmtId="0" fontId="23" fillId="5" borderId="11" xfId="0" applyFont="1" applyFill="1" applyBorder="1" applyAlignment="1">
      <alignment horizontal="center"/>
    </xf>
    <xf numFmtId="49" fontId="24" fillId="5" borderId="9" xfId="0" applyNumberFormat="1" applyFont="1" applyFill="1" applyBorder="1"/>
    <xf numFmtId="39" fontId="24" fillId="5" borderId="9" xfId="0" applyNumberFormat="1" applyFont="1" applyFill="1" applyBorder="1"/>
    <xf numFmtId="39" fontId="24" fillId="5" borderId="2" xfId="0" applyNumberFormat="1" applyFont="1" applyFill="1" applyBorder="1"/>
    <xf numFmtId="49" fontId="27" fillId="5" borderId="0" xfId="0" applyNumberFormat="1" applyFont="1" applyFill="1" applyAlignment="1">
      <alignment vertical="center" wrapText="1"/>
    </xf>
    <xf numFmtId="0" fontId="28" fillId="5" borderId="0" xfId="0" applyFont="1" applyFill="1"/>
    <xf numFmtId="0" fontId="10" fillId="5" borderId="9" xfId="0" applyFont="1" applyFill="1" applyBorder="1"/>
    <xf numFmtId="39" fontId="0" fillId="5" borderId="4" xfId="0" applyNumberFormat="1" applyFill="1" applyBorder="1"/>
    <xf numFmtId="39" fontId="0" fillId="5" borderId="13" xfId="0" applyNumberFormat="1" applyFill="1" applyBorder="1"/>
    <xf numFmtId="39" fontId="0" fillId="5" borderId="10" xfId="0" applyNumberFormat="1" applyFill="1" applyBorder="1"/>
    <xf numFmtId="0" fontId="0" fillId="5" borderId="16" xfId="0" applyFill="1" applyBorder="1"/>
    <xf numFmtId="0" fontId="0" fillId="5" borderId="18" xfId="0" applyFill="1" applyBorder="1"/>
    <xf numFmtId="0" fontId="10" fillId="5" borderId="20" xfId="0" applyFont="1" applyFill="1" applyBorder="1"/>
    <xf numFmtId="0" fontId="0" fillId="5" borderId="22" xfId="0" applyFill="1" applyBorder="1"/>
    <xf numFmtId="39" fontId="0" fillId="5" borderId="23" xfId="0" applyNumberFormat="1" applyFill="1" applyBorder="1"/>
    <xf numFmtId="39" fontId="0" fillId="5" borderId="24" xfId="0" applyNumberFormat="1" applyFill="1" applyBorder="1"/>
    <xf numFmtId="39" fontId="10" fillId="5" borderId="9" xfId="0" applyNumberFormat="1" applyFont="1" applyFill="1" applyBorder="1"/>
    <xf numFmtId="39" fontId="29" fillId="5" borderId="9" xfId="0" applyNumberFormat="1" applyFont="1" applyFill="1" applyBorder="1"/>
    <xf numFmtId="39" fontId="10" fillId="5" borderId="2" xfId="0" applyNumberFormat="1" applyFont="1" applyFill="1" applyBorder="1"/>
    <xf numFmtId="172" fontId="10" fillId="5" borderId="5" xfId="0" applyNumberFormat="1" applyFont="1" applyFill="1" applyBorder="1"/>
    <xf numFmtId="43" fontId="0" fillId="5" borderId="10" xfId="1" applyFont="1" applyFill="1" applyBorder="1"/>
    <xf numFmtId="0" fontId="24" fillId="5" borderId="9" xfId="0" applyFont="1" applyFill="1" applyBorder="1" applyAlignment="1">
      <alignment horizontal="center"/>
    </xf>
    <xf numFmtId="43" fontId="23" fillId="5" borderId="9" xfId="1" applyFont="1" applyFill="1" applyBorder="1" applyAlignment="1"/>
    <xf numFmtId="166" fontId="23" fillId="5" borderId="9" xfId="1" applyNumberFormat="1" applyFont="1" applyFill="1" applyBorder="1" applyAlignment="1"/>
    <xf numFmtId="43" fontId="24" fillId="5" borderId="9" xfId="1" applyFont="1" applyFill="1" applyBorder="1" applyAlignment="1"/>
    <xf numFmtId="172" fontId="0" fillId="5" borderId="10" xfId="0" applyNumberFormat="1" applyFill="1" applyBorder="1"/>
    <xf numFmtId="172" fontId="0" fillId="5" borderId="17" xfId="0" applyNumberFormat="1" applyFill="1" applyBorder="1"/>
    <xf numFmtId="172" fontId="0" fillId="5" borderId="9" xfId="0" applyNumberFormat="1" applyFill="1" applyBorder="1"/>
    <xf numFmtId="172" fontId="0" fillId="5" borderId="19" xfId="0" applyNumberFormat="1" applyFill="1" applyBorder="1"/>
    <xf numFmtId="172" fontId="0" fillId="5" borderId="24" xfId="0" applyNumberFormat="1" applyFill="1" applyBorder="1"/>
    <xf numFmtId="172" fontId="0" fillId="5" borderId="25" xfId="0" applyNumberFormat="1" applyFill="1" applyBorder="1"/>
    <xf numFmtId="49" fontId="24" fillId="5" borderId="11" xfId="0" applyNumberFormat="1" applyFont="1" applyFill="1" applyBorder="1"/>
    <xf numFmtId="39" fontId="24" fillId="5" borderId="11" xfId="0" applyNumberFormat="1" applyFont="1" applyFill="1" applyBorder="1"/>
    <xf numFmtId="169" fontId="24" fillId="5" borderId="9" xfId="1" applyNumberFormat="1" applyFont="1" applyFill="1" applyBorder="1" applyAlignment="1"/>
    <xf numFmtId="39" fontId="29" fillId="5" borderId="4" xfId="0" applyNumberFormat="1" applyFont="1" applyFill="1" applyBorder="1"/>
    <xf numFmtId="0" fontId="0" fillId="5" borderId="4" xfId="0" applyFill="1" applyBorder="1"/>
    <xf numFmtId="166" fontId="23" fillId="5" borderId="4" xfId="1" applyNumberFormat="1" applyFont="1" applyFill="1" applyBorder="1" applyAlignment="1">
      <alignment horizontal="center"/>
    </xf>
    <xf numFmtId="0" fontId="0" fillId="5" borderId="26" xfId="0" applyFill="1" applyBorder="1"/>
    <xf numFmtId="39" fontId="24" fillId="5" borderId="12" xfId="0" applyNumberFormat="1" applyFont="1" applyFill="1" applyBorder="1"/>
    <xf numFmtId="39" fontId="0" fillId="5" borderId="12" xfId="0" applyNumberFormat="1" applyFill="1" applyBorder="1"/>
    <xf numFmtId="43" fontId="24" fillId="5" borderId="9" xfId="1" applyFont="1" applyFill="1" applyBorder="1" applyAlignment="1">
      <alignment horizontal="center"/>
    </xf>
    <xf numFmtId="43" fontId="0" fillId="5" borderId="9" xfId="1" applyFont="1" applyFill="1" applyBorder="1"/>
    <xf numFmtId="43" fontId="10" fillId="5" borderId="9" xfId="1" applyFont="1" applyFill="1" applyBorder="1"/>
    <xf numFmtId="43" fontId="10" fillId="5" borderId="2" xfId="1" applyFont="1" applyFill="1" applyBorder="1"/>
    <xf numFmtId="43" fontId="0" fillId="5" borderId="0" xfId="1" applyFont="1" applyFill="1"/>
    <xf numFmtId="43" fontId="29" fillId="5" borderId="9" xfId="1" applyFont="1" applyFill="1" applyBorder="1"/>
    <xf numFmtId="43" fontId="11" fillId="0" borderId="0" xfId="1" applyFont="1" applyFill="1" applyAlignment="1"/>
    <xf numFmtId="43" fontId="12" fillId="0" borderId="0" xfId="1" applyFont="1" applyFill="1" applyAlignment="1"/>
    <xf numFmtId="0" fontId="12" fillId="0" borderId="0" xfId="0" applyFont="1"/>
    <xf numFmtId="172" fontId="12" fillId="0" borderId="1" xfId="0" applyNumberFormat="1" applyFont="1" applyBorder="1"/>
    <xf numFmtId="0" fontId="12" fillId="0" borderId="8" xfId="0" applyFont="1" applyBorder="1"/>
    <xf numFmtId="0" fontId="11" fillId="0" borderId="0" xfId="0" applyFont="1" applyAlignment="1">
      <alignment horizontal="right"/>
    </xf>
    <xf numFmtId="43" fontId="11" fillId="0" borderId="0" xfId="1" applyFont="1" applyFill="1" applyBorder="1" applyAlignment="1"/>
    <xf numFmtId="172" fontId="12" fillId="0" borderId="0" xfId="0" applyNumberFormat="1" applyFont="1"/>
    <xf numFmtId="43" fontId="3" fillId="0" borderId="1" xfId="1" applyFont="1" applyFill="1" applyBorder="1" applyAlignment="1"/>
    <xf numFmtId="0" fontId="3" fillId="0" borderId="1" xfId="0" applyFont="1" applyBorder="1"/>
    <xf numFmtId="43" fontId="3" fillId="0" borderId="0" xfId="1" applyFont="1" applyFill="1" applyAlignment="1"/>
    <xf numFmtId="43" fontId="3" fillId="0" borderId="0" xfId="1" applyFont="1" applyFill="1" applyBorder="1" applyAlignment="1"/>
    <xf numFmtId="43" fontId="4" fillId="0" borderId="0" xfId="1" applyFont="1" applyFill="1" applyBorder="1" applyAlignment="1"/>
    <xf numFmtId="0" fontId="0" fillId="0" borderId="0" xfId="0" applyAlignment="1">
      <alignment horizontal="left" indent="2"/>
    </xf>
    <xf numFmtId="168" fontId="0" fillId="0" borderId="0" xfId="6" applyNumberFormat="1" applyFont="1"/>
    <xf numFmtId="168" fontId="0" fillId="0" borderId="1" xfId="6" applyNumberFormat="1" applyFont="1" applyBorder="1"/>
    <xf numFmtId="166" fontId="0" fillId="0" borderId="0" xfId="6" applyNumberFormat="1" applyFont="1"/>
    <xf numFmtId="49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/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168" fontId="5" fillId="0" borderId="0" xfId="0" applyNumberFormat="1" applyFont="1"/>
    <xf numFmtId="43" fontId="5" fillId="0" borderId="0" xfId="6" applyFont="1"/>
    <xf numFmtId="168" fontId="5" fillId="0" borderId="0" xfId="6" applyNumberFormat="1" applyFont="1"/>
    <xf numFmtId="171" fontId="5" fillId="0" borderId="0" xfId="6" applyNumberFormat="1" applyFont="1" applyFill="1" applyBorder="1"/>
    <xf numFmtId="2" fontId="5" fillId="0" borderId="0" xfId="6" applyNumberFormat="1" applyFont="1" applyFill="1" applyBorder="1"/>
    <xf numFmtId="166" fontId="0" fillId="0" borderId="0" xfId="0" applyNumberFormat="1"/>
    <xf numFmtId="43" fontId="10" fillId="0" borderId="0" xfId="0" applyNumberFormat="1" applyFont="1" applyAlignment="1">
      <alignment horizontal="center"/>
    </xf>
    <xf numFmtId="2" fontId="11" fillId="0" borderId="0" xfId="1" applyNumberFormat="1" applyFont="1" applyFill="1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6" fontId="0" fillId="0" borderId="0" xfId="6" applyNumberFormat="1" applyFont="1" applyFill="1"/>
    <xf numFmtId="43" fontId="12" fillId="0" borderId="0" xfId="1" applyFont="1" applyFill="1" applyBorder="1"/>
    <xf numFmtId="1" fontId="3" fillId="0" borderId="0" xfId="1" applyNumberFormat="1" applyFont="1" applyAlignment="1">
      <alignment horizontal="center"/>
    </xf>
    <xf numFmtId="2" fontId="10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27" xfId="0" applyBorder="1"/>
    <xf numFmtId="0" fontId="0" fillId="0" borderId="8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left" indent="1"/>
    </xf>
    <xf numFmtId="0" fontId="0" fillId="0" borderId="30" xfId="0" applyBorder="1"/>
    <xf numFmtId="0" fontId="31" fillId="0" borderId="13" xfId="0" applyFont="1" applyBorder="1" applyAlignment="1">
      <alignment horizontal="center"/>
    </xf>
    <xf numFmtId="43" fontId="0" fillId="0" borderId="0" xfId="1" applyFont="1" applyFill="1" applyBorder="1"/>
    <xf numFmtId="43" fontId="0" fillId="0" borderId="1" xfId="1" applyFont="1" applyFill="1" applyBorder="1"/>
    <xf numFmtId="173" fontId="3" fillId="0" borderId="0" xfId="6" applyNumberFormat="1" applyFont="1" applyBorder="1"/>
    <xf numFmtId="0" fontId="12" fillId="0" borderId="6" xfId="0" applyFont="1" applyBorder="1" applyAlignment="1">
      <alignment vertical="center" wrapText="1"/>
    </xf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6" applyNumberFormat="1" applyFont="1" applyBorder="1"/>
    <xf numFmtId="0" fontId="18" fillId="0" borderId="0" xfId="0" applyFont="1"/>
    <xf numFmtId="168" fontId="23" fillId="0" borderId="0" xfId="6" applyNumberFormat="1" applyFont="1" applyFill="1" applyProtection="1"/>
    <xf numFmtId="168" fontId="23" fillId="0" borderId="1" xfId="6" applyNumberFormat="1" applyFont="1" applyFill="1" applyBorder="1" applyProtection="1"/>
    <xf numFmtId="165" fontId="13" fillId="0" borderId="7" xfId="0" applyNumberFormat="1" applyFont="1" applyBorder="1"/>
    <xf numFmtId="49" fontId="12" fillId="0" borderId="1" xfId="0" applyNumberFormat="1" applyFont="1" applyBorder="1" applyAlignment="1">
      <alignment horizontal="center"/>
    </xf>
    <xf numFmtId="171" fontId="5" fillId="0" borderId="1" xfId="6" applyNumberFormat="1" applyFont="1" applyFill="1" applyBorder="1"/>
    <xf numFmtId="2" fontId="5" fillId="0" borderId="1" xfId="6" applyNumberFormat="1" applyFont="1" applyFill="1" applyBorder="1"/>
    <xf numFmtId="166" fontId="5" fillId="0" borderId="1" xfId="6" applyNumberFormat="1" applyFont="1" applyBorder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28" xfId="0" applyFont="1" applyBorder="1"/>
    <xf numFmtId="0" fontId="11" fillId="0" borderId="29" xfId="0" applyFont="1" applyBorder="1"/>
    <xf numFmtId="0" fontId="13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33" fillId="2" borderId="0" xfId="0" applyFont="1" applyFill="1"/>
    <xf numFmtId="0" fontId="2" fillId="2" borderId="0" xfId="0" applyFont="1" applyFill="1"/>
    <xf numFmtId="43" fontId="21" fillId="0" borderId="1" xfId="1" applyFont="1" applyFill="1" applyBorder="1"/>
    <xf numFmtId="43" fontId="5" fillId="0" borderId="0" xfId="1" applyFont="1" applyFill="1"/>
    <xf numFmtId="2" fontId="0" fillId="0" borderId="0" xfId="0" applyNumberFormat="1"/>
    <xf numFmtId="39" fontId="23" fillId="5" borderId="4" xfId="0" applyNumberFormat="1" applyFont="1" applyFill="1" applyBorder="1"/>
    <xf numFmtId="0" fontId="23" fillId="5" borderId="9" xfId="0" applyFont="1" applyFill="1" applyBorder="1"/>
    <xf numFmtId="43" fontId="23" fillId="5" borderId="9" xfId="1" applyFont="1" applyFill="1" applyBorder="1"/>
    <xf numFmtId="167" fontId="3" fillId="5" borderId="0" xfId="0" quotePrefix="1" applyNumberFormat="1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0" fillId="5" borderId="1" xfId="0" applyFill="1" applyBorder="1"/>
    <xf numFmtId="0" fontId="23" fillId="5" borderId="2" xfId="0" applyFont="1" applyFill="1" applyBorder="1"/>
    <xf numFmtId="0" fontId="23" fillId="5" borderId="3" xfId="0" applyFont="1" applyFill="1" applyBorder="1"/>
    <xf numFmtId="0" fontId="23" fillId="5" borderId="4" xfId="0" applyFont="1" applyFill="1" applyBorder="1"/>
    <xf numFmtId="167" fontId="23" fillId="5" borderId="8" xfId="0" quotePrefix="1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0" fillId="5" borderId="28" xfId="0" applyFill="1" applyBorder="1"/>
    <xf numFmtId="0" fontId="0" fillId="5" borderId="29" xfId="0" applyFill="1" applyBorder="1"/>
    <xf numFmtId="169" fontId="24" fillId="5" borderId="2" xfId="1" applyNumberFormat="1" applyFont="1" applyFill="1" applyBorder="1" applyAlignment="1"/>
    <xf numFmtId="0" fontId="0" fillId="5" borderId="11" xfId="0" applyFill="1" applyBorder="1"/>
    <xf numFmtId="0" fontId="23" fillId="5" borderId="10" xfId="0" applyFont="1" applyFill="1" applyBorder="1" applyAlignment="1">
      <alignment horizontal="center"/>
    </xf>
    <xf numFmtId="37" fontId="25" fillId="5" borderId="9" xfId="0" applyNumberFormat="1" applyFont="1" applyFill="1" applyBorder="1"/>
    <xf numFmtId="43" fontId="25" fillId="5" borderId="9" xfId="1" applyFont="1" applyFill="1" applyBorder="1" applyAlignment="1"/>
    <xf numFmtId="37" fontId="25" fillId="5" borderId="10" xfId="0" applyNumberFormat="1" applyFont="1" applyFill="1" applyBorder="1"/>
    <xf numFmtId="49" fontId="27" fillId="5" borderId="1" xfId="0" applyNumberFormat="1" applyFont="1" applyFill="1" applyBorder="1" applyAlignment="1">
      <alignment vertical="center"/>
    </xf>
    <xf numFmtId="164" fontId="24" fillId="5" borderId="9" xfId="0" applyNumberFormat="1" applyFont="1" applyFill="1" applyBorder="1" applyAlignment="1">
      <alignment horizontal="left"/>
    </xf>
    <xf numFmtId="0" fontId="23" fillId="5" borderId="13" xfId="0" applyFont="1" applyFill="1" applyBorder="1" applyAlignment="1">
      <alignment horizontal="center"/>
    </xf>
    <xf numFmtId="39" fontId="25" fillId="5" borderId="9" xfId="0" applyNumberFormat="1" applyFont="1" applyFill="1" applyBorder="1"/>
    <xf numFmtId="39" fontId="25" fillId="5" borderId="13" xfId="0" applyNumberFormat="1" applyFont="1" applyFill="1" applyBorder="1"/>
    <xf numFmtId="43" fontId="24" fillId="5" borderId="9" xfId="1" applyFont="1" applyFill="1" applyBorder="1"/>
    <xf numFmtId="43" fontId="0" fillId="5" borderId="0" xfId="0" applyNumberFormat="1" applyFill="1"/>
    <xf numFmtId="37" fontId="0" fillId="5" borderId="0" xfId="0" applyNumberFormat="1" applyFill="1"/>
    <xf numFmtId="49" fontId="32" fillId="2" borderId="0" xfId="0" applyNumberFormat="1" applyFont="1" applyFill="1" applyAlignment="1">
      <alignment horizontal="center"/>
    </xf>
    <xf numFmtId="2" fontId="11" fillId="0" borderId="0" xfId="1" applyNumberFormat="1" applyFont="1" applyFill="1" applyBorder="1" applyAlignment="1"/>
    <xf numFmtId="168" fontId="0" fillId="0" borderId="0" xfId="6" applyNumberFormat="1" applyFont="1" applyFill="1"/>
    <xf numFmtId="168" fontId="0" fillId="0" borderId="1" xfId="6" applyNumberFormat="1" applyFont="1" applyFill="1" applyBorder="1"/>
    <xf numFmtId="164" fontId="17" fillId="0" borderId="1" xfId="0" applyNumberFormat="1" applyFont="1" applyBorder="1" applyAlignment="1">
      <alignment horizontal="left"/>
    </xf>
    <xf numFmtId="172" fontId="11" fillId="0" borderId="1" xfId="0" applyNumberFormat="1" applyFont="1" applyBorder="1"/>
    <xf numFmtId="165" fontId="5" fillId="0" borderId="1" xfId="6" applyNumberFormat="1" applyFont="1" applyFill="1" applyBorder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0" fillId="0" borderId="0" xfId="0" applyNumberFormat="1" applyFont="1"/>
    <xf numFmtId="165" fontId="13" fillId="0" borderId="8" xfId="0" applyNumberFormat="1" applyFont="1" applyBorder="1" applyAlignment="1">
      <alignment horizontal="center"/>
    </xf>
    <xf numFmtId="49" fontId="32" fillId="0" borderId="0" xfId="0" applyNumberFormat="1" applyFont="1" applyAlignment="1">
      <alignment horizontal="center"/>
    </xf>
    <xf numFmtId="0" fontId="33" fillId="0" borderId="0" xfId="0" applyFont="1"/>
    <xf numFmtId="0" fontId="33" fillId="2" borderId="1" xfId="0" applyFont="1" applyFill="1" applyBorder="1"/>
    <xf numFmtId="165" fontId="5" fillId="0" borderId="0" xfId="6" applyNumberFormat="1" applyFont="1" applyFill="1" applyBorder="1"/>
    <xf numFmtId="166" fontId="5" fillId="0" borderId="0" xfId="6" applyNumberFormat="1" applyFont="1" applyBorder="1"/>
    <xf numFmtId="43" fontId="5" fillId="0" borderId="0" xfId="1" applyFont="1" applyFill="1" applyBorder="1"/>
    <xf numFmtId="43" fontId="5" fillId="0" borderId="0" xfId="0" applyNumberFormat="1" applyFont="1"/>
    <xf numFmtId="39" fontId="23" fillId="5" borderId="0" xfId="0" applyNumberFormat="1" applyFont="1" applyFill="1"/>
    <xf numFmtId="39" fontId="24" fillId="5" borderId="0" xfId="0" applyNumberFormat="1" applyFont="1" applyFill="1"/>
    <xf numFmtId="169" fontId="24" fillId="5" borderId="0" xfId="1" applyNumberFormat="1" applyFont="1" applyFill="1" applyBorder="1" applyAlignment="1"/>
    <xf numFmtId="39" fontId="24" fillId="5" borderId="4" xfId="0" applyNumberFormat="1" applyFont="1" applyFill="1" applyBorder="1"/>
    <xf numFmtId="0" fontId="10" fillId="5" borderId="0" xfId="0" applyFont="1" applyFill="1"/>
    <xf numFmtId="39" fontId="0" fillId="5" borderId="0" xfId="0" applyNumberFormat="1" applyFill="1"/>
    <xf numFmtId="0" fontId="23" fillId="5" borderId="0" xfId="0" applyFont="1" applyFill="1" applyAlignment="1">
      <alignment vertical="center"/>
    </xf>
    <xf numFmtId="164" fontId="23" fillId="5" borderId="0" xfId="0" applyNumberFormat="1" applyFont="1" applyFill="1" applyAlignment="1">
      <alignment horizontal="left"/>
    </xf>
    <xf numFmtId="0" fontId="24" fillId="5" borderId="0" xfId="0" applyFont="1" applyFill="1" applyAlignment="1">
      <alignment horizontal="center"/>
    </xf>
    <xf numFmtId="39" fontId="10" fillId="5" borderId="0" xfId="0" applyNumberFormat="1" applyFont="1" applyFill="1"/>
    <xf numFmtId="172" fontId="10" fillId="5" borderId="0" xfId="0" applyNumberFormat="1" applyFont="1" applyFill="1"/>
    <xf numFmtId="172" fontId="0" fillId="5" borderId="30" xfId="0" applyNumberFormat="1" applyFill="1" applyBorder="1"/>
    <xf numFmtId="172" fontId="0" fillId="5" borderId="2" xfId="0" applyNumberFormat="1" applyFill="1" applyBorder="1"/>
    <xf numFmtId="172" fontId="0" fillId="5" borderId="31" xfId="0" applyNumberFormat="1" applyFill="1" applyBorder="1"/>
    <xf numFmtId="39" fontId="5" fillId="0" borderId="0" xfId="0" applyNumberFormat="1" applyFont="1"/>
    <xf numFmtId="0" fontId="10" fillId="0" borderId="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3" fillId="5" borderId="0" xfId="0" applyFont="1" applyFill="1" applyAlignment="1">
      <alignment horizontal="center"/>
    </xf>
    <xf numFmtId="166" fontId="0" fillId="0" borderId="8" xfId="6" applyNumberFormat="1" applyFont="1" applyBorder="1"/>
    <xf numFmtId="0" fontId="11" fillId="0" borderId="8" xfId="0" applyFont="1" applyBorder="1"/>
    <xf numFmtId="171" fontId="5" fillId="0" borderId="8" xfId="6" applyNumberFormat="1" applyFont="1" applyFill="1" applyBorder="1"/>
    <xf numFmtId="2" fontId="5" fillId="0" borderId="8" xfId="6" applyNumberFormat="1" applyFont="1" applyFill="1" applyBorder="1"/>
    <xf numFmtId="0" fontId="10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4" fillId="0" borderId="29" xfId="0" applyFont="1" applyBorder="1"/>
    <xf numFmtId="43" fontId="4" fillId="0" borderId="1" xfId="1" applyFont="1" applyFill="1" applyBorder="1" applyAlignment="1"/>
    <xf numFmtId="43" fontId="10" fillId="0" borderId="1" xfId="0" applyNumberFormat="1" applyFont="1" applyBorder="1"/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2" fontId="19" fillId="0" borderId="0" xfId="2" applyNumberFormat="1"/>
    <xf numFmtId="165" fontId="19" fillId="0" borderId="0" xfId="2" applyNumberFormat="1"/>
    <xf numFmtId="2" fontId="19" fillId="0" borderId="29" xfId="2" applyNumberFormat="1" applyBorder="1"/>
    <xf numFmtId="165" fontId="19" fillId="0" borderId="29" xfId="2" applyNumberFormat="1" applyBorder="1"/>
    <xf numFmtId="1" fontId="19" fillId="0" borderId="29" xfId="2" applyNumberFormat="1" applyBorder="1"/>
    <xf numFmtId="165" fontId="19" fillId="0" borderId="13" xfId="2" applyNumberFormat="1" applyBorder="1"/>
    <xf numFmtId="0" fontId="23" fillId="0" borderId="28" xfId="0" applyFont="1" applyBorder="1"/>
    <xf numFmtId="0" fontId="23" fillId="0" borderId="0" xfId="0" applyFont="1"/>
    <xf numFmtId="0" fontId="23" fillId="0" borderId="3" xfId="0" applyFont="1" applyBorder="1"/>
    <xf numFmtId="0" fontId="23" fillId="0" borderId="30" xfId="0" applyFont="1" applyBorder="1"/>
    <xf numFmtId="2" fontId="23" fillId="0" borderId="0" xfId="2" applyNumberFormat="1" applyFont="1"/>
    <xf numFmtId="2" fontId="23" fillId="0" borderId="29" xfId="2" applyNumberFormat="1" applyFont="1" applyBorder="1"/>
    <xf numFmtId="165" fontId="23" fillId="0" borderId="0" xfId="2" applyNumberFormat="1" applyFont="1"/>
    <xf numFmtId="165" fontId="23" fillId="0" borderId="29" xfId="2" applyNumberFormat="1" applyFont="1" applyBorder="1"/>
    <xf numFmtId="165" fontId="23" fillId="0" borderId="13" xfId="2" applyNumberFormat="1" applyFont="1" applyBorder="1"/>
    <xf numFmtId="1" fontId="19" fillId="0" borderId="1" xfId="2" applyNumberFormat="1" applyBorder="1"/>
    <xf numFmtId="165" fontId="19" fillId="0" borderId="1" xfId="2" applyNumberFormat="1" applyBorder="1"/>
    <xf numFmtId="0" fontId="23" fillId="0" borderId="27" xfId="0" applyFont="1" applyBorder="1"/>
    <xf numFmtId="165" fontId="23" fillId="0" borderId="1" xfId="2" applyNumberFormat="1" applyFont="1" applyBorder="1"/>
    <xf numFmtId="49" fontId="32" fillId="0" borderId="1" xfId="0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2" fontId="19" fillId="0" borderId="26" xfId="2" applyNumberFormat="1" applyBorder="1"/>
    <xf numFmtId="0" fontId="10" fillId="0" borderId="4" xfId="0" applyFont="1" applyBorder="1" applyAlignment="1">
      <alignment horizontal="center"/>
    </xf>
    <xf numFmtId="168" fontId="0" fillId="0" borderId="28" xfId="0" applyNumberFormat="1" applyBorder="1"/>
    <xf numFmtId="168" fontId="0" fillId="0" borderId="30" xfId="0" applyNumberFormat="1" applyBorder="1"/>
    <xf numFmtId="2" fontId="19" fillId="0" borderId="8" xfId="2" applyNumberFormat="1" applyBorder="1"/>
    <xf numFmtId="43" fontId="0" fillId="0" borderId="3" xfId="1" applyFont="1" applyFill="1" applyBorder="1"/>
    <xf numFmtId="0" fontId="10" fillId="0" borderId="0" xfId="0" applyFont="1"/>
    <xf numFmtId="0" fontId="10" fillId="0" borderId="4" xfId="0" applyFont="1" applyBorder="1"/>
    <xf numFmtId="0" fontId="24" fillId="0" borderId="27" xfId="0" applyFont="1" applyBorder="1"/>
    <xf numFmtId="0" fontId="24" fillId="0" borderId="28" xfId="0" applyFont="1" applyBorder="1"/>
    <xf numFmtId="0" fontId="24" fillId="0" borderId="0" xfId="0" applyFont="1"/>
    <xf numFmtId="0" fontId="24" fillId="0" borderId="29" xfId="0" applyFont="1" applyBorder="1"/>
    <xf numFmtId="0" fontId="24" fillId="0" borderId="8" xfId="0" applyFont="1" applyBorder="1"/>
    <xf numFmtId="0" fontId="24" fillId="0" borderId="26" xfId="0" applyFont="1" applyBorder="1"/>
    <xf numFmtId="0" fontId="33" fillId="0" borderId="28" xfId="0" applyFont="1" applyBorder="1"/>
    <xf numFmtId="0" fontId="24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0" fillId="0" borderId="2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168" fontId="0" fillId="0" borderId="30" xfId="0" applyNumberFormat="1" applyBorder="1" applyAlignment="1">
      <alignment horizontal="left"/>
    </xf>
    <xf numFmtId="0" fontId="11" fillId="0" borderId="33" xfId="0" applyFont="1" applyBorder="1"/>
    <xf numFmtId="43" fontId="11" fillId="0" borderId="0" xfId="1" applyFont="1" applyFill="1" applyAlignment="1">
      <alignment horizontal="center"/>
    </xf>
    <xf numFmtId="39" fontId="23" fillId="5" borderId="4" xfId="0" applyNumberFormat="1" applyFont="1" applyFill="1" applyBorder="1" applyAlignment="1">
      <alignment horizontal="right"/>
    </xf>
    <xf numFmtId="39" fontId="23" fillId="5" borderId="9" xfId="0" applyNumberFormat="1" applyFont="1" applyFill="1" applyBorder="1" applyAlignment="1">
      <alignment horizontal="right"/>
    </xf>
    <xf numFmtId="39" fontId="29" fillId="5" borderId="9" xfId="0" applyNumberFormat="1" applyFont="1" applyFill="1" applyBorder="1" applyAlignment="1">
      <alignment horizontal="right"/>
    </xf>
    <xf numFmtId="39" fontId="0" fillId="5" borderId="9" xfId="0" applyNumberFormat="1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166" fontId="23" fillId="5" borderId="9" xfId="1" applyNumberFormat="1" applyFont="1" applyFill="1" applyBorder="1" applyAlignment="1">
      <alignment horizontal="right"/>
    </xf>
    <xf numFmtId="39" fontId="24" fillId="5" borderId="4" xfId="0" applyNumberFormat="1" applyFont="1" applyFill="1" applyBorder="1" applyAlignment="1">
      <alignment horizontal="right"/>
    </xf>
    <xf numFmtId="39" fontId="24" fillId="5" borderId="11" xfId="0" applyNumberFormat="1" applyFont="1" applyFill="1" applyBorder="1" applyAlignment="1">
      <alignment horizontal="right"/>
    </xf>
    <xf numFmtId="0" fontId="0" fillId="5" borderId="11" xfId="0" applyFill="1" applyBorder="1" applyAlignment="1">
      <alignment horizontal="right"/>
    </xf>
    <xf numFmtId="39" fontId="24" fillId="5" borderId="9" xfId="0" applyNumberFormat="1" applyFont="1" applyFill="1" applyBorder="1" applyAlignment="1">
      <alignment horizontal="right"/>
    </xf>
    <xf numFmtId="0" fontId="23" fillId="5" borderId="3" xfId="0" applyFont="1" applyFill="1" applyBorder="1" applyAlignment="1">
      <alignment horizontal="right"/>
    </xf>
    <xf numFmtId="0" fontId="23" fillId="5" borderId="4" xfId="0" applyFont="1" applyFill="1" applyBorder="1" applyAlignment="1">
      <alignment horizontal="right"/>
    </xf>
    <xf numFmtId="169" fontId="24" fillId="5" borderId="2" xfId="1" applyNumberFormat="1" applyFont="1" applyFill="1" applyBorder="1" applyAlignment="1">
      <alignment horizontal="right"/>
    </xf>
    <xf numFmtId="0" fontId="23" fillId="5" borderId="2" xfId="0" applyFont="1" applyFill="1" applyBorder="1" applyAlignment="1">
      <alignment horizontal="right"/>
    </xf>
    <xf numFmtId="169" fontId="24" fillId="5" borderId="9" xfId="1" applyNumberFormat="1" applyFont="1" applyFill="1" applyBorder="1" applyAlignment="1">
      <alignment horizontal="right"/>
    </xf>
    <xf numFmtId="2" fontId="23" fillId="5" borderId="9" xfId="1" applyNumberFormat="1" applyFont="1" applyFill="1" applyBorder="1" applyAlignment="1">
      <alignment horizontal="right"/>
    </xf>
    <xf numFmtId="39" fontId="0" fillId="5" borderId="2" xfId="0" applyNumberFormat="1" applyFill="1" applyBorder="1"/>
    <xf numFmtId="167" fontId="12" fillId="0" borderId="34" xfId="0" quotePrefix="1" applyNumberFormat="1" applyFont="1" applyBorder="1" applyAlignment="1">
      <alignment horizontal="center" wrapText="1"/>
    </xf>
    <xf numFmtId="37" fontId="16" fillId="0" borderId="35" xfId="0" applyNumberFormat="1" applyFont="1" applyBorder="1" applyAlignment="1">
      <alignment horizontal="right"/>
    </xf>
    <xf numFmtId="39" fontId="11" fillId="0" borderId="36" xfId="0" applyNumberFormat="1" applyFont="1" applyBorder="1" applyAlignment="1">
      <alignment horizontal="right"/>
    </xf>
    <xf numFmtId="39" fontId="16" fillId="0" borderId="37" xfId="0" applyNumberFormat="1" applyFont="1" applyBorder="1" applyAlignment="1">
      <alignment horizontal="right"/>
    </xf>
    <xf numFmtId="37" fontId="16" fillId="0" borderId="37" xfId="0" applyNumberFormat="1" applyFont="1" applyBorder="1" applyAlignment="1">
      <alignment horizontal="right"/>
    </xf>
    <xf numFmtId="39" fontId="16" fillId="0" borderId="38" xfId="0" applyNumberFormat="1" applyFont="1" applyBorder="1" applyAlignment="1">
      <alignment horizontal="right"/>
    </xf>
    <xf numFmtId="0" fontId="10" fillId="3" borderId="0" xfId="0" applyFont="1" applyFill="1"/>
    <xf numFmtId="1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2" fontId="24" fillId="5" borderId="9" xfId="1" applyNumberFormat="1" applyFont="1" applyFill="1" applyBorder="1" applyAlignment="1">
      <alignment horizontal="right"/>
    </xf>
    <xf numFmtId="2" fontId="0" fillId="5" borderId="0" xfId="0" applyNumberFormat="1" applyFill="1"/>
    <xf numFmtId="2" fontId="23" fillId="5" borderId="9" xfId="1" applyNumberFormat="1" applyFont="1" applyFill="1" applyBorder="1"/>
    <xf numFmtId="171" fontId="10" fillId="0" borderId="1" xfId="0" applyNumberFormat="1" applyFont="1" applyBorder="1"/>
    <xf numFmtId="2" fontId="0" fillId="5" borderId="2" xfId="0" applyNumberFormat="1" applyFill="1" applyBorder="1"/>
    <xf numFmtId="172" fontId="4" fillId="0" borderId="1" xfId="0" applyNumberFormat="1" applyFont="1" applyBorder="1"/>
    <xf numFmtId="171" fontId="23" fillId="5" borderId="9" xfId="1" applyNumberFormat="1" applyFont="1" applyFill="1" applyBorder="1" applyAlignment="1">
      <alignment horizontal="right"/>
    </xf>
    <xf numFmtId="2" fontId="0" fillId="5" borderId="9" xfId="0" applyNumberFormat="1" applyFill="1" applyBorder="1"/>
    <xf numFmtId="0" fontId="23" fillId="0" borderId="1" xfId="0" applyFont="1" applyBorder="1"/>
    <xf numFmtId="165" fontId="5" fillId="0" borderId="8" xfId="6" applyNumberFormat="1" applyFont="1" applyFill="1" applyBorder="1"/>
    <xf numFmtId="0" fontId="0" fillId="0" borderId="26" xfId="0" applyBorder="1"/>
    <xf numFmtId="169" fontId="0" fillId="0" borderId="0" xfId="1" applyNumberFormat="1" applyFont="1" applyFill="1"/>
    <xf numFmtId="167" fontId="24" fillId="5" borderId="8" xfId="0" quotePrefix="1" applyNumberFormat="1" applyFont="1" applyFill="1" applyBorder="1" applyAlignment="1">
      <alignment horizontal="center" vertical="center" wrapText="1"/>
    </xf>
    <xf numFmtId="167" fontId="3" fillId="5" borderId="9" xfId="0" quotePrefix="1" applyNumberFormat="1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167" fontId="23" fillId="5" borderId="9" xfId="0" quotePrefix="1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167" fontId="24" fillId="5" borderId="9" xfId="0" quotePrefix="1" applyNumberFormat="1" applyFont="1" applyFill="1" applyBorder="1" applyAlignment="1">
      <alignment horizontal="center" vertical="center" wrapText="1"/>
    </xf>
    <xf numFmtId="172" fontId="24" fillId="5" borderId="9" xfId="1" applyNumberFormat="1" applyFont="1" applyFill="1" applyBorder="1" applyAlignment="1">
      <alignment horizontal="right"/>
    </xf>
    <xf numFmtId="49" fontId="24" fillId="5" borderId="2" xfId="0" applyNumberFormat="1" applyFont="1" applyFill="1" applyBorder="1"/>
    <xf numFmtId="0" fontId="24" fillId="5" borderId="11" xfId="0" applyFont="1" applyFill="1" applyBorder="1" applyAlignment="1">
      <alignment horizontal="center"/>
    </xf>
    <xf numFmtId="43" fontId="10" fillId="5" borderId="11" xfId="1" applyFont="1" applyFill="1" applyBorder="1"/>
    <xf numFmtId="169" fontId="24" fillId="5" borderId="4" xfId="1" applyNumberFormat="1" applyFont="1" applyFill="1" applyBorder="1" applyAlignment="1"/>
    <xf numFmtId="43" fontId="25" fillId="5" borderId="2" xfId="1" applyFont="1" applyFill="1" applyBorder="1" applyAlignment="1"/>
    <xf numFmtId="43" fontId="23" fillId="5" borderId="10" xfId="1" applyFont="1" applyFill="1" applyBorder="1" applyAlignment="1"/>
    <xf numFmtId="43" fontId="23" fillId="5" borderId="10" xfId="1" applyFont="1" applyFill="1" applyBorder="1"/>
    <xf numFmtId="43" fontId="24" fillId="5" borderId="11" xfId="1" applyFont="1" applyFill="1" applyBorder="1" applyAlignment="1"/>
    <xf numFmtId="171" fontId="0" fillId="5" borderId="0" xfId="0" applyNumberFormat="1" applyFill="1"/>
    <xf numFmtId="49" fontId="24" fillId="5" borderId="27" xfId="0" applyNumberFormat="1" applyFont="1" applyFill="1" applyBorder="1"/>
    <xf numFmtId="0" fontId="23" fillId="5" borderId="27" xfId="0" applyFont="1" applyFill="1" applyBorder="1"/>
    <xf numFmtId="0" fontId="23" fillId="5" borderId="8" xfId="0" applyFont="1" applyFill="1" applyBorder="1"/>
    <xf numFmtId="169" fontId="24" fillId="5" borderId="26" xfId="1" applyNumberFormat="1" applyFont="1" applyFill="1" applyBorder="1" applyAlignment="1"/>
    <xf numFmtId="0" fontId="23" fillId="5" borderId="26" xfId="0" applyFont="1" applyFill="1" applyBorder="1"/>
    <xf numFmtId="169" fontId="24" fillId="5" borderId="11" xfId="1" applyNumberFormat="1" applyFont="1" applyFill="1" applyBorder="1" applyAlignment="1"/>
    <xf numFmtId="43" fontId="0" fillId="5" borderId="0" xfId="1" applyFont="1" applyFill="1" applyBorder="1"/>
    <xf numFmtId="0" fontId="0" fillId="5" borderId="0" xfId="0" applyFill="1" applyAlignment="1">
      <alignment vertical="center"/>
    </xf>
    <xf numFmtId="0" fontId="0" fillId="5" borderId="8" xfId="0" applyFill="1" applyBorder="1"/>
    <xf numFmtId="0" fontId="0" fillId="5" borderId="30" xfId="0" applyFill="1" applyBorder="1"/>
    <xf numFmtId="0" fontId="0" fillId="5" borderId="13" xfId="0" applyFill="1" applyBorder="1"/>
    <xf numFmtId="169" fontId="1" fillId="0" borderId="0" xfId="1" applyNumberFormat="1" applyFont="1" applyFill="1"/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49" fontId="32" fillId="2" borderId="8" xfId="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9" fontId="32" fillId="2" borderId="28" xfId="0" applyNumberFormat="1" applyFont="1" applyFill="1" applyBorder="1" applyAlignment="1">
      <alignment horizontal="center"/>
    </xf>
    <xf numFmtId="49" fontId="32" fillId="2" borderId="0" xfId="0" applyNumberFormat="1" applyFont="1" applyFill="1" applyAlignment="1">
      <alignment horizontal="center"/>
    </xf>
    <xf numFmtId="165" fontId="13" fillId="0" borderId="7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169" fontId="24" fillId="5" borderId="3" xfId="1" applyNumberFormat="1" applyFont="1" applyFill="1" applyBorder="1" applyAlignment="1">
      <alignment horizontal="center"/>
    </xf>
    <xf numFmtId="169" fontId="24" fillId="5" borderId="4" xfId="1" applyNumberFormat="1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26" fillId="5" borderId="0" xfId="0" applyFont="1" applyFill="1" applyAlignment="1">
      <alignment horizontal="center"/>
    </xf>
    <xf numFmtId="169" fontId="24" fillId="5" borderId="3" xfId="1" applyNumberFormat="1" applyFont="1" applyFill="1" applyBorder="1" applyAlignment="1">
      <alignment horizontal="right"/>
    </xf>
    <xf numFmtId="169" fontId="24" fillId="5" borderId="4" xfId="1" applyNumberFormat="1" applyFont="1" applyFill="1" applyBorder="1" applyAlignment="1">
      <alignment horizontal="right"/>
    </xf>
    <xf numFmtId="0" fontId="23" fillId="5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69" fontId="24" fillId="5" borderId="11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1">
    <cellStyle name="Comma" xfId="1" builtinId="3"/>
    <cellStyle name="Comma 10" xfId="9" xr:uid="{0906D379-0518-4FAB-A336-AC144679567D}"/>
    <cellStyle name="Comma 2" xfId="3" xr:uid="{5B7FA884-DCCF-4857-8A82-8CE11C461995}"/>
    <cellStyle name="Comma 2 2" xfId="10" xr:uid="{6868984D-3ECB-4945-8291-7AFD1515ED83}"/>
    <cellStyle name="Comma 3" xfId="6" xr:uid="{D136D388-E4FB-4E19-8EEE-6561BDE1A01F}"/>
    <cellStyle name="Comma 4" xfId="8" xr:uid="{88489E99-1AAE-436A-9491-32F5F40F3357}"/>
    <cellStyle name="Exhibits" xfId="4" xr:uid="{6FAF8FC6-566D-4CA3-967F-3793C0972693}"/>
    <cellStyle name="Normal" xfId="0" builtinId="0" customBuiltin="1"/>
    <cellStyle name="Normal 2" xfId="2" xr:uid="{48BDE07E-DBF9-43DC-A2DE-79E9A0FBF377}"/>
    <cellStyle name="Normal 2 2" xfId="5" xr:uid="{7443D211-7C0F-4C5C-9D35-7990B38E58A0}"/>
    <cellStyle name="Percent 2" xfId="7" xr:uid="{7129AAA1-9220-4798-BC69-E502B603419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9289-F4BD-47B1-AE52-0A359F1E3E9E}">
  <sheetPr codeName="Sheet6">
    <tabColor theme="7"/>
  </sheetPr>
  <dimension ref="A1:BM93"/>
  <sheetViews>
    <sheetView tabSelected="1" zoomScale="80" zoomScaleNormal="80" workbookViewId="0">
      <selection activeCell="Y30" sqref="Y30"/>
    </sheetView>
  </sheetViews>
  <sheetFormatPr defaultColWidth="6.140625" defaultRowHeight="14.25" customHeight="1"/>
  <cols>
    <col min="1" max="1" width="24.42578125" style="19" bestFit="1" customWidth="1"/>
    <col min="2" max="2" width="7.42578125" style="66" bestFit="1" customWidth="1"/>
    <col min="3" max="3" width="1.140625" style="19" customWidth="1"/>
    <col min="4" max="5" width="11" style="19" customWidth="1"/>
    <col min="6" max="6" width="6.42578125" style="19" customWidth="1"/>
    <col min="7" max="7" width="3.42578125" style="19" customWidth="1"/>
    <col min="8" max="8" width="26.140625" style="19" customWidth="1"/>
    <col min="9" max="9" width="3.140625" style="19" bestFit="1" customWidth="1"/>
    <col min="10" max="10" width="10.42578125" style="19" customWidth="1"/>
    <col min="11" max="11" width="11.42578125" style="19" customWidth="1"/>
    <col min="12" max="12" width="10.85546875" style="19" customWidth="1"/>
    <col min="13" max="13" width="12.42578125" style="19" bestFit="1" customWidth="1"/>
    <col min="14" max="14" width="6.42578125" style="19" customWidth="1"/>
    <col min="15" max="15" width="1.85546875" style="19" customWidth="1"/>
    <col min="16" max="16" width="31.140625" style="19" customWidth="1"/>
    <col min="17" max="17" width="11.42578125" style="19" customWidth="1"/>
    <col min="18" max="19" width="10.42578125" style="19" bestFit="1" customWidth="1"/>
    <col min="20" max="20" width="11.42578125" style="19" customWidth="1"/>
    <col min="21" max="21" width="13" style="19" bestFit="1" customWidth="1"/>
    <col min="22" max="22" width="6.7109375" style="19" customWidth="1"/>
    <col min="23" max="23" width="1.42578125" style="19" customWidth="1"/>
    <col min="24" max="24" width="27.85546875" style="19" customWidth="1"/>
    <col min="25" max="28" width="13" style="19" customWidth="1"/>
    <col min="29" max="29" width="13.42578125" style="19" customWidth="1"/>
    <col min="30" max="30" width="6.42578125" style="19" customWidth="1"/>
    <col min="31" max="31" width="2.140625" style="19" customWidth="1"/>
    <col min="32" max="32" width="27.85546875" style="19" customWidth="1"/>
    <col min="33" max="36" width="13" style="19" customWidth="1"/>
    <col min="37" max="37" width="13.42578125" style="19" customWidth="1"/>
    <col min="38" max="38" width="4.28515625" style="19" customWidth="1"/>
    <col min="39" max="39" width="23.42578125" style="19" customWidth="1"/>
    <col min="40" max="40" width="20.85546875" style="19" customWidth="1"/>
    <col min="41" max="41" width="20.140625" style="19" customWidth="1"/>
    <col min="42" max="57" width="6.140625" style="19"/>
    <col min="58" max="58" width="19.42578125" style="19" customWidth="1"/>
    <col min="59" max="59" width="21.85546875" style="19" customWidth="1"/>
    <col min="60" max="60" width="19.85546875" style="19" customWidth="1"/>
    <col min="61" max="61" width="14.42578125" style="19" customWidth="1"/>
    <col min="62" max="62" width="21.7109375" style="19" customWidth="1"/>
    <col min="63" max="63" width="18.42578125" style="19" customWidth="1"/>
    <col min="64" max="64" width="18" style="19" customWidth="1"/>
    <col min="65" max="264" width="6.140625" style="19"/>
    <col min="265" max="265" width="16.85546875" style="19" bestFit="1" customWidth="1"/>
    <col min="266" max="266" width="5.85546875" style="19" customWidth="1"/>
    <col min="267" max="267" width="8" style="19" bestFit="1" customWidth="1"/>
    <col min="268" max="268" width="8.42578125" style="19" bestFit="1" customWidth="1"/>
    <col min="269" max="269" width="9.42578125" style="19" customWidth="1"/>
    <col min="270" max="271" width="8.42578125" style="19" bestFit="1" customWidth="1"/>
    <col min="272" max="276" width="7.42578125" style="19" bestFit="1" customWidth="1"/>
    <col min="277" max="278" width="6.85546875" style="19" bestFit="1" customWidth="1"/>
    <col min="279" max="279" width="8" style="19" bestFit="1" customWidth="1"/>
    <col min="280" max="280" width="2.42578125" style="19" customWidth="1"/>
    <col min="281" max="281" width="14.42578125" style="19" bestFit="1" customWidth="1"/>
    <col min="282" max="282" width="10.42578125" style="19" customWidth="1"/>
    <col min="283" max="283" width="5.85546875" style="19" customWidth="1"/>
    <col min="284" max="285" width="1.140625" style="19" customWidth="1"/>
    <col min="286" max="286" width="2" style="19" customWidth="1"/>
    <col min="287" max="287" width="6.140625" style="19"/>
    <col min="288" max="290" width="9.42578125" style="19" bestFit="1" customWidth="1"/>
    <col min="291" max="520" width="6.140625" style="19"/>
    <col min="521" max="521" width="16.85546875" style="19" bestFit="1" customWidth="1"/>
    <col min="522" max="522" width="5.85546875" style="19" customWidth="1"/>
    <col min="523" max="523" width="8" style="19" bestFit="1" customWidth="1"/>
    <col min="524" max="524" width="8.42578125" style="19" bestFit="1" customWidth="1"/>
    <col min="525" max="525" width="9.42578125" style="19" customWidth="1"/>
    <col min="526" max="527" width="8.42578125" style="19" bestFit="1" customWidth="1"/>
    <col min="528" max="532" width="7.42578125" style="19" bestFit="1" customWidth="1"/>
    <col min="533" max="534" width="6.85546875" style="19" bestFit="1" customWidth="1"/>
    <col min="535" max="535" width="8" style="19" bestFit="1" customWidth="1"/>
    <col min="536" max="536" width="2.42578125" style="19" customWidth="1"/>
    <col min="537" max="537" width="14.42578125" style="19" bestFit="1" customWidth="1"/>
    <col min="538" max="538" width="10.42578125" style="19" customWidth="1"/>
    <col min="539" max="539" width="5.85546875" style="19" customWidth="1"/>
    <col min="540" max="541" width="1.140625" style="19" customWidth="1"/>
    <col min="542" max="542" width="2" style="19" customWidth="1"/>
    <col min="543" max="543" width="6.140625" style="19"/>
    <col min="544" max="546" width="9.42578125" style="19" bestFit="1" customWidth="1"/>
    <col min="547" max="776" width="6.140625" style="19"/>
    <col min="777" max="777" width="16.85546875" style="19" bestFit="1" customWidth="1"/>
    <col min="778" max="778" width="5.85546875" style="19" customWidth="1"/>
    <col min="779" max="779" width="8" style="19" bestFit="1" customWidth="1"/>
    <col min="780" max="780" width="8.42578125" style="19" bestFit="1" customWidth="1"/>
    <col min="781" max="781" width="9.42578125" style="19" customWidth="1"/>
    <col min="782" max="783" width="8.42578125" style="19" bestFit="1" customWidth="1"/>
    <col min="784" max="788" width="7.42578125" style="19" bestFit="1" customWidth="1"/>
    <col min="789" max="790" width="6.85546875" style="19" bestFit="1" customWidth="1"/>
    <col min="791" max="791" width="8" style="19" bestFit="1" customWidth="1"/>
    <col min="792" max="792" width="2.42578125" style="19" customWidth="1"/>
    <col min="793" max="793" width="14.42578125" style="19" bestFit="1" customWidth="1"/>
    <col min="794" max="794" width="10.42578125" style="19" customWidth="1"/>
    <col min="795" max="795" width="5.85546875" style="19" customWidth="1"/>
    <col min="796" max="797" width="1.140625" style="19" customWidth="1"/>
    <col min="798" max="798" width="2" style="19" customWidth="1"/>
    <col min="799" max="799" width="6.140625" style="19"/>
    <col min="800" max="802" width="9.42578125" style="19" bestFit="1" customWidth="1"/>
    <col min="803" max="1032" width="6.140625" style="19"/>
    <col min="1033" max="1033" width="16.85546875" style="19" bestFit="1" customWidth="1"/>
    <col min="1034" max="1034" width="5.85546875" style="19" customWidth="1"/>
    <col min="1035" max="1035" width="8" style="19" bestFit="1" customWidth="1"/>
    <col min="1036" max="1036" width="8.42578125" style="19" bestFit="1" customWidth="1"/>
    <col min="1037" max="1037" width="9.42578125" style="19" customWidth="1"/>
    <col min="1038" max="1039" width="8.42578125" style="19" bestFit="1" customWidth="1"/>
    <col min="1040" max="1044" width="7.42578125" style="19" bestFit="1" customWidth="1"/>
    <col min="1045" max="1046" width="6.85546875" style="19" bestFit="1" customWidth="1"/>
    <col min="1047" max="1047" width="8" style="19" bestFit="1" customWidth="1"/>
    <col min="1048" max="1048" width="2.42578125" style="19" customWidth="1"/>
    <col min="1049" max="1049" width="14.42578125" style="19" bestFit="1" customWidth="1"/>
    <col min="1050" max="1050" width="10.42578125" style="19" customWidth="1"/>
    <col min="1051" max="1051" width="5.85546875" style="19" customWidth="1"/>
    <col min="1052" max="1053" width="1.140625" style="19" customWidth="1"/>
    <col min="1054" max="1054" width="2" style="19" customWidth="1"/>
    <col min="1055" max="1055" width="6.140625" style="19"/>
    <col min="1056" max="1058" width="9.42578125" style="19" bestFit="1" customWidth="1"/>
    <col min="1059" max="1288" width="6.140625" style="19"/>
    <col min="1289" max="1289" width="16.85546875" style="19" bestFit="1" customWidth="1"/>
    <col min="1290" max="1290" width="5.85546875" style="19" customWidth="1"/>
    <col min="1291" max="1291" width="8" style="19" bestFit="1" customWidth="1"/>
    <col min="1292" max="1292" width="8.42578125" style="19" bestFit="1" customWidth="1"/>
    <col min="1293" max="1293" width="9.42578125" style="19" customWidth="1"/>
    <col min="1294" max="1295" width="8.42578125" style="19" bestFit="1" customWidth="1"/>
    <col min="1296" max="1300" width="7.42578125" style="19" bestFit="1" customWidth="1"/>
    <col min="1301" max="1302" width="6.85546875" style="19" bestFit="1" customWidth="1"/>
    <col min="1303" max="1303" width="8" style="19" bestFit="1" customWidth="1"/>
    <col min="1304" max="1304" width="2.42578125" style="19" customWidth="1"/>
    <col min="1305" max="1305" width="14.42578125" style="19" bestFit="1" customWidth="1"/>
    <col min="1306" max="1306" width="10.42578125" style="19" customWidth="1"/>
    <col min="1307" max="1307" width="5.85546875" style="19" customWidth="1"/>
    <col min="1308" max="1309" width="1.140625" style="19" customWidth="1"/>
    <col min="1310" max="1310" width="2" style="19" customWidth="1"/>
    <col min="1311" max="1311" width="6.140625" style="19"/>
    <col min="1312" max="1314" width="9.42578125" style="19" bestFit="1" customWidth="1"/>
    <col min="1315" max="1544" width="6.140625" style="19"/>
    <col min="1545" max="1545" width="16.85546875" style="19" bestFit="1" customWidth="1"/>
    <col min="1546" max="1546" width="5.85546875" style="19" customWidth="1"/>
    <col min="1547" max="1547" width="8" style="19" bestFit="1" customWidth="1"/>
    <col min="1548" max="1548" width="8.42578125" style="19" bestFit="1" customWidth="1"/>
    <col min="1549" max="1549" width="9.42578125" style="19" customWidth="1"/>
    <col min="1550" max="1551" width="8.42578125" style="19" bestFit="1" customWidth="1"/>
    <col min="1552" max="1556" width="7.42578125" style="19" bestFit="1" customWidth="1"/>
    <col min="1557" max="1558" width="6.85546875" style="19" bestFit="1" customWidth="1"/>
    <col min="1559" max="1559" width="8" style="19" bestFit="1" customWidth="1"/>
    <col min="1560" max="1560" width="2.42578125" style="19" customWidth="1"/>
    <col min="1561" max="1561" width="14.42578125" style="19" bestFit="1" customWidth="1"/>
    <col min="1562" max="1562" width="10.42578125" style="19" customWidth="1"/>
    <col min="1563" max="1563" width="5.85546875" style="19" customWidth="1"/>
    <col min="1564" max="1565" width="1.140625" style="19" customWidth="1"/>
    <col min="1566" max="1566" width="2" style="19" customWidth="1"/>
    <col min="1567" max="1567" width="6.140625" style="19"/>
    <col min="1568" max="1570" width="9.42578125" style="19" bestFit="1" customWidth="1"/>
    <col min="1571" max="1800" width="6.140625" style="19"/>
    <col min="1801" max="1801" width="16.85546875" style="19" bestFit="1" customWidth="1"/>
    <col min="1802" max="1802" width="5.85546875" style="19" customWidth="1"/>
    <col min="1803" max="1803" width="8" style="19" bestFit="1" customWidth="1"/>
    <col min="1804" max="1804" width="8.42578125" style="19" bestFit="1" customWidth="1"/>
    <col min="1805" max="1805" width="9.42578125" style="19" customWidth="1"/>
    <col min="1806" max="1807" width="8.42578125" style="19" bestFit="1" customWidth="1"/>
    <col min="1808" max="1812" width="7.42578125" style="19" bestFit="1" customWidth="1"/>
    <col min="1813" max="1814" width="6.85546875" style="19" bestFit="1" customWidth="1"/>
    <col min="1815" max="1815" width="8" style="19" bestFit="1" customWidth="1"/>
    <col min="1816" max="1816" width="2.42578125" style="19" customWidth="1"/>
    <col min="1817" max="1817" width="14.42578125" style="19" bestFit="1" customWidth="1"/>
    <col min="1818" max="1818" width="10.42578125" style="19" customWidth="1"/>
    <col min="1819" max="1819" width="5.85546875" style="19" customWidth="1"/>
    <col min="1820" max="1821" width="1.140625" style="19" customWidth="1"/>
    <col min="1822" max="1822" width="2" style="19" customWidth="1"/>
    <col min="1823" max="1823" width="6.140625" style="19"/>
    <col min="1824" max="1826" width="9.42578125" style="19" bestFit="1" customWidth="1"/>
    <col min="1827" max="2056" width="6.140625" style="19"/>
    <col min="2057" max="2057" width="16.85546875" style="19" bestFit="1" customWidth="1"/>
    <col min="2058" max="2058" width="5.85546875" style="19" customWidth="1"/>
    <col min="2059" max="2059" width="8" style="19" bestFit="1" customWidth="1"/>
    <col min="2060" max="2060" width="8.42578125" style="19" bestFit="1" customWidth="1"/>
    <col min="2061" max="2061" width="9.42578125" style="19" customWidth="1"/>
    <col min="2062" max="2063" width="8.42578125" style="19" bestFit="1" customWidth="1"/>
    <col min="2064" max="2068" width="7.42578125" style="19" bestFit="1" customWidth="1"/>
    <col min="2069" max="2070" width="6.85546875" style="19" bestFit="1" customWidth="1"/>
    <col min="2071" max="2071" width="8" style="19" bestFit="1" customWidth="1"/>
    <col min="2072" max="2072" width="2.42578125" style="19" customWidth="1"/>
    <col min="2073" max="2073" width="14.42578125" style="19" bestFit="1" customWidth="1"/>
    <col min="2074" max="2074" width="10.42578125" style="19" customWidth="1"/>
    <col min="2075" max="2075" width="5.85546875" style="19" customWidth="1"/>
    <col min="2076" max="2077" width="1.140625" style="19" customWidth="1"/>
    <col min="2078" max="2078" width="2" style="19" customWidth="1"/>
    <col min="2079" max="2079" width="6.140625" style="19"/>
    <col min="2080" max="2082" width="9.42578125" style="19" bestFit="1" customWidth="1"/>
    <col min="2083" max="2312" width="6.140625" style="19"/>
    <col min="2313" max="2313" width="16.85546875" style="19" bestFit="1" customWidth="1"/>
    <col min="2314" max="2314" width="5.85546875" style="19" customWidth="1"/>
    <col min="2315" max="2315" width="8" style="19" bestFit="1" customWidth="1"/>
    <col min="2316" max="2316" width="8.42578125" style="19" bestFit="1" customWidth="1"/>
    <col min="2317" max="2317" width="9.42578125" style="19" customWidth="1"/>
    <col min="2318" max="2319" width="8.42578125" style="19" bestFit="1" customWidth="1"/>
    <col min="2320" max="2324" width="7.42578125" style="19" bestFit="1" customWidth="1"/>
    <col min="2325" max="2326" width="6.85546875" style="19" bestFit="1" customWidth="1"/>
    <col min="2327" max="2327" width="8" style="19" bestFit="1" customWidth="1"/>
    <col min="2328" max="2328" width="2.42578125" style="19" customWidth="1"/>
    <col min="2329" max="2329" width="14.42578125" style="19" bestFit="1" customWidth="1"/>
    <col min="2330" max="2330" width="10.42578125" style="19" customWidth="1"/>
    <col min="2331" max="2331" width="5.85546875" style="19" customWidth="1"/>
    <col min="2332" max="2333" width="1.140625" style="19" customWidth="1"/>
    <col min="2334" max="2334" width="2" style="19" customWidth="1"/>
    <col min="2335" max="2335" width="6.140625" style="19"/>
    <col min="2336" max="2338" width="9.42578125" style="19" bestFit="1" customWidth="1"/>
    <col min="2339" max="2568" width="6.140625" style="19"/>
    <col min="2569" max="2569" width="16.85546875" style="19" bestFit="1" customWidth="1"/>
    <col min="2570" max="2570" width="5.85546875" style="19" customWidth="1"/>
    <col min="2571" max="2571" width="8" style="19" bestFit="1" customWidth="1"/>
    <col min="2572" max="2572" width="8.42578125" style="19" bestFit="1" customWidth="1"/>
    <col min="2573" max="2573" width="9.42578125" style="19" customWidth="1"/>
    <col min="2574" max="2575" width="8.42578125" style="19" bestFit="1" customWidth="1"/>
    <col min="2576" max="2580" width="7.42578125" style="19" bestFit="1" customWidth="1"/>
    <col min="2581" max="2582" width="6.85546875" style="19" bestFit="1" customWidth="1"/>
    <col min="2583" max="2583" width="8" style="19" bestFit="1" customWidth="1"/>
    <col min="2584" max="2584" width="2.42578125" style="19" customWidth="1"/>
    <col min="2585" max="2585" width="14.42578125" style="19" bestFit="1" customWidth="1"/>
    <col min="2586" max="2586" width="10.42578125" style="19" customWidth="1"/>
    <col min="2587" max="2587" width="5.85546875" style="19" customWidth="1"/>
    <col min="2588" max="2589" width="1.140625" style="19" customWidth="1"/>
    <col min="2590" max="2590" width="2" style="19" customWidth="1"/>
    <col min="2591" max="2591" width="6.140625" style="19"/>
    <col min="2592" max="2594" width="9.42578125" style="19" bestFit="1" customWidth="1"/>
    <col min="2595" max="2824" width="6.140625" style="19"/>
    <col min="2825" max="2825" width="16.85546875" style="19" bestFit="1" customWidth="1"/>
    <col min="2826" max="2826" width="5.85546875" style="19" customWidth="1"/>
    <col min="2827" max="2827" width="8" style="19" bestFit="1" customWidth="1"/>
    <col min="2828" max="2828" width="8.42578125" style="19" bestFit="1" customWidth="1"/>
    <col min="2829" max="2829" width="9.42578125" style="19" customWidth="1"/>
    <col min="2830" max="2831" width="8.42578125" style="19" bestFit="1" customWidth="1"/>
    <col min="2832" max="2836" width="7.42578125" style="19" bestFit="1" customWidth="1"/>
    <col min="2837" max="2838" width="6.85546875" style="19" bestFit="1" customWidth="1"/>
    <col min="2839" max="2839" width="8" style="19" bestFit="1" customWidth="1"/>
    <col min="2840" max="2840" width="2.42578125" style="19" customWidth="1"/>
    <col min="2841" max="2841" width="14.42578125" style="19" bestFit="1" customWidth="1"/>
    <col min="2842" max="2842" width="10.42578125" style="19" customWidth="1"/>
    <col min="2843" max="2843" width="5.85546875" style="19" customWidth="1"/>
    <col min="2844" max="2845" width="1.140625" style="19" customWidth="1"/>
    <col min="2846" max="2846" width="2" style="19" customWidth="1"/>
    <col min="2847" max="2847" width="6.140625" style="19"/>
    <col min="2848" max="2850" width="9.42578125" style="19" bestFit="1" customWidth="1"/>
    <col min="2851" max="3080" width="6.140625" style="19"/>
    <col min="3081" max="3081" width="16.85546875" style="19" bestFit="1" customWidth="1"/>
    <col min="3082" max="3082" width="5.85546875" style="19" customWidth="1"/>
    <col min="3083" max="3083" width="8" style="19" bestFit="1" customWidth="1"/>
    <col min="3084" max="3084" width="8.42578125" style="19" bestFit="1" customWidth="1"/>
    <col min="3085" max="3085" width="9.42578125" style="19" customWidth="1"/>
    <col min="3086" max="3087" width="8.42578125" style="19" bestFit="1" customWidth="1"/>
    <col min="3088" max="3092" width="7.42578125" style="19" bestFit="1" customWidth="1"/>
    <col min="3093" max="3094" width="6.85546875" style="19" bestFit="1" customWidth="1"/>
    <col min="3095" max="3095" width="8" style="19" bestFit="1" customWidth="1"/>
    <col min="3096" max="3096" width="2.42578125" style="19" customWidth="1"/>
    <col min="3097" max="3097" width="14.42578125" style="19" bestFit="1" customWidth="1"/>
    <col min="3098" max="3098" width="10.42578125" style="19" customWidth="1"/>
    <col min="3099" max="3099" width="5.85546875" style="19" customWidth="1"/>
    <col min="3100" max="3101" width="1.140625" style="19" customWidth="1"/>
    <col min="3102" max="3102" width="2" style="19" customWidth="1"/>
    <col min="3103" max="3103" width="6.140625" style="19"/>
    <col min="3104" max="3106" width="9.42578125" style="19" bestFit="1" customWidth="1"/>
    <col min="3107" max="3336" width="6.140625" style="19"/>
    <col min="3337" max="3337" width="16.85546875" style="19" bestFit="1" customWidth="1"/>
    <col min="3338" max="3338" width="5.85546875" style="19" customWidth="1"/>
    <col min="3339" max="3339" width="8" style="19" bestFit="1" customWidth="1"/>
    <col min="3340" max="3340" width="8.42578125" style="19" bestFit="1" customWidth="1"/>
    <col min="3341" max="3341" width="9.42578125" style="19" customWidth="1"/>
    <col min="3342" max="3343" width="8.42578125" style="19" bestFit="1" customWidth="1"/>
    <col min="3344" max="3348" width="7.42578125" style="19" bestFit="1" customWidth="1"/>
    <col min="3349" max="3350" width="6.85546875" style="19" bestFit="1" customWidth="1"/>
    <col min="3351" max="3351" width="8" style="19" bestFit="1" customWidth="1"/>
    <col min="3352" max="3352" width="2.42578125" style="19" customWidth="1"/>
    <col min="3353" max="3353" width="14.42578125" style="19" bestFit="1" customWidth="1"/>
    <col min="3354" max="3354" width="10.42578125" style="19" customWidth="1"/>
    <col min="3355" max="3355" width="5.85546875" style="19" customWidth="1"/>
    <col min="3356" max="3357" width="1.140625" style="19" customWidth="1"/>
    <col min="3358" max="3358" width="2" style="19" customWidth="1"/>
    <col min="3359" max="3359" width="6.140625" style="19"/>
    <col min="3360" max="3362" width="9.42578125" style="19" bestFit="1" customWidth="1"/>
    <col min="3363" max="3592" width="6.140625" style="19"/>
    <col min="3593" max="3593" width="16.85546875" style="19" bestFit="1" customWidth="1"/>
    <col min="3594" max="3594" width="5.85546875" style="19" customWidth="1"/>
    <col min="3595" max="3595" width="8" style="19" bestFit="1" customWidth="1"/>
    <col min="3596" max="3596" width="8.42578125" style="19" bestFit="1" customWidth="1"/>
    <col min="3597" max="3597" width="9.42578125" style="19" customWidth="1"/>
    <col min="3598" max="3599" width="8.42578125" style="19" bestFit="1" customWidth="1"/>
    <col min="3600" max="3604" width="7.42578125" style="19" bestFit="1" customWidth="1"/>
    <col min="3605" max="3606" width="6.85546875" style="19" bestFit="1" customWidth="1"/>
    <col min="3607" max="3607" width="8" style="19" bestFit="1" customWidth="1"/>
    <col min="3608" max="3608" width="2.42578125" style="19" customWidth="1"/>
    <col min="3609" max="3609" width="14.42578125" style="19" bestFit="1" customWidth="1"/>
    <col min="3610" max="3610" width="10.42578125" style="19" customWidth="1"/>
    <col min="3611" max="3611" width="5.85546875" style="19" customWidth="1"/>
    <col min="3612" max="3613" width="1.140625" style="19" customWidth="1"/>
    <col min="3614" max="3614" width="2" style="19" customWidth="1"/>
    <col min="3615" max="3615" width="6.140625" style="19"/>
    <col min="3616" max="3618" width="9.42578125" style="19" bestFit="1" customWidth="1"/>
    <col min="3619" max="3848" width="6.140625" style="19"/>
    <col min="3849" max="3849" width="16.85546875" style="19" bestFit="1" customWidth="1"/>
    <col min="3850" max="3850" width="5.85546875" style="19" customWidth="1"/>
    <col min="3851" max="3851" width="8" style="19" bestFit="1" customWidth="1"/>
    <col min="3852" max="3852" width="8.42578125" style="19" bestFit="1" customWidth="1"/>
    <col min="3853" max="3853" width="9.42578125" style="19" customWidth="1"/>
    <col min="3854" max="3855" width="8.42578125" style="19" bestFit="1" customWidth="1"/>
    <col min="3856" max="3860" width="7.42578125" style="19" bestFit="1" customWidth="1"/>
    <col min="3861" max="3862" width="6.85546875" style="19" bestFit="1" customWidth="1"/>
    <col min="3863" max="3863" width="8" style="19" bestFit="1" customWidth="1"/>
    <col min="3864" max="3864" width="2.42578125" style="19" customWidth="1"/>
    <col min="3865" max="3865" width="14.42578125" style="19" bestFit="1" customWidth="1"/>
    <col min="3866" max="3866" width="10.42578125" style="19" customWidth="1"/>
    <col min="3867" max="3867" width="5.85546875" style="19" customWidth="1"/>
    <col min="3868" max="3869" width="1.140625" style="19" customWidth="1"/>
    <col min="3870" max="3870" width="2" style="19" customWidth="1"/>
    <col min="3871" max="3871" width="6.140625" style="19"/>
    <col min="3872" max="3874" width="9.42578125" style="19" bestFit="1" customWidth="1"/>
    <col min="3875" max="4104" width="6.140625" style="19"/>
    <col min="4105" max="4105" width="16.85546875" style="19" bestFit="1" customWidth="1"/>
    <col min="4106" max="4106" width="5.85546875" style="19" customWidth="1"/>
    <col min="4107" max="4107" width="8" style="19" bestFit="1" customWidth="1"/>
    <col min="4108" max="4108" width="8.42578125" style="19" bestFit="1" customWidth="1"/>
    <col min="4109" max="4109" width="9.42578125" style="19" customWidth="1"/>
    <col min="4110" max="4111" width="8.42578125" style="19" bestFit="1" customWidth="1"/>
    <col min="4112" max="4116" width="7.42578125" style="19" bestFit="1" customWidth="1"/>
    <col min="4117" max="4118" width="6.85546875" style="19" bestFit="1" customWidth="1"/>
    <col min="4119" max="4119" width="8" style="19" bestFit="1" customWidth="1"/>
    <col min="4120" max="4120" width="2.42578125" style="19" customWidth="1"/>
    <col min="4121" max="4121" width="14.42578125" style="19" bestFit="1" customWidth="1"/>
    <col min="4122" max="4122" width="10.42578125" style="19" customWidth="1"/>
    <col min="4123" max="4123" width="5.85546875" style="19" customWidth="1"/>
    <col min="4124" max="4125" width="1.140625" style="19" customWidth="1"/>
    <col min="4126" max="4126" width="2" style="19" customWidth="1"/>
    <col min="4127" max="4127" width="6.140625" style="19"/>
    <col min="4128" max="4130" width="9.42578125" style="19" bestFit="1" customWidth="1"/>
    <col min="4131" max="4360" width="6.140625" style="19"/>
    <col min="4361" max="4361" width="16.85546875" style="19" bestFit="1" customWidth="1"/>
    <col min="4362" max="4362" width="5.85546875" style="19" customWidth="1"/>
    <col min="4363" max="4363" width="8" style="19" bestFit="1" customWidth="1"/>
    <col min="4364" max="4364" width="8.42578125" style="19" bestFit="1" customWidth="1"/>
    <col min="4365" max="4365" width="9.42578125" style="19" customWidth="1"/>
    <col min="4366" max="4367" width="8.42578125" style="19" bestFit="1" customWidth="1"/>
    <col min="4368" max="4372" width="7.42578125" style="19" bestFit="1" customWidth="1"/>
    <col min="4373" max="4374" width="6.85546875" style="19" bestFit="1" customWidth="1"/>
    <col min="4375" max="4375" width="8" style="19" bestFit="1" customWidth="1"/>
    <col min="4376" max="4376" width="2.42578125" style="19" customWidth="1"/>
    <col min="4377" max="4377" width="14.42578125" style="19" bestFit="1" customWidth="1"/>
    <col min="4378" max="4378" width="10.42578125" style="19" customWidth="1"/>
    <col min="4379" max="4379" width="5.85546875" style="19" customWidth="1"/>
    <col min="4380" max="4381" width="1.140625" style="19" customWidth="1"/>
    <col min="4382" max="4382" width="2" style="19" customWidth="1"/>
    <col min="4383" max="4383" width="6.140625" style="19"/>
    <col min="4384" max="4386" width="9.42578125" style="19" bestFit="1" customWidth="1"/>
    <col min="4387" max="4616" width="6.140625" style="19"/>
    <col min="4617" max="4617" width="16.85546875" style="19" bestFit="1" customWidth="1"/>
    <col min="4618" max="4618" width="5.85546875" style="19" customWidth="1"/>
    <col min="4619" max="4619" width="8" style="19" bestFit="1" customWidth="1"/>
    <col min="4620" max="4620" width="8.42578125" style="19" bestFit="1" customWidth="1"/>
    <col min="4621" max="4621" width="9.42578125" style="19" customWidth="1"/>
    <col min="4622" max="4623" width="8.42578125" style="19" bestFit="1" customWidth="1"/>
    <col min="4624" max="4628" width="7.42578125" style="19" bestFit="1" customWidth="1"/>
    <col min="4629" max="4630" width="6.85546875" style="19" bestFit="1" customWidth="1"/>
    <col min="4631" max="4631" width="8" style="19" bestFit="1" customWidth="1"/>
    <col min="4632" max="4632" width="2.42578125" style="19" customWidth="1"/>
    <col min="4633" max="4633" width="14.42578125" style="19" bestFit="1" customWidth="1"/>
    <col min="4634" max="4634" width="10.42578125" style="19" customWidth="1"/>
    <col min="4635" max="4635" width="5.85546875" style="19" customWidth="1"/>
    <col min="4636" max="4637" width="1.140625" style="19" customWidth="1"/>
    <col min="4638" max="4638" width="2" style="19" customWidth="1"/>
    <col min="4639" max="4639" width="6.140625" style="19"/>
    <col min="4640" max="4642" width="9.42578125" style="19" bestFit="1" customWidth="1"/>
    <col min="4643" max="4872" width="6.140625" style="19"/>
    <col min="4873" max="4873" width="16.85546875" style="19" bestFit="1" customWidth="1"/>
    <col min="4874" max="4874" width="5.85546875" style="19" customWidth="1"/>
    <col min="4875" max="4875" width="8" style="19" bestFit="1" customWidth="1"/>
    <col min="4876" max="4876" width="8.42578125" style="19" bestFit="1" customWidth="1"/>
    <col min="4877" max="4877" width="9.42578125" style="19" customWidth="1"/>
    <col min="4878" max="4879" width="8.42578125" style="19" bestFit="1" customWidth="1"/>
    <col min="4880" max="4884" width="7.42578125" style="19" bestFit="1" customWidth="1"/>
    <col min="4885" max="4886" width="6.85546875" style="19" bestFit="1" customWidth="1"/>
    <col min="4887" max="4887" width="8" style="19" bestFit="1" customWidth="1"/>
    <col min="4888" max="4888" width="2.42578125" style="19" customWidth="1"/>
    <col min="4889" max="4889" width="14.42578125" style="19" bestFit="1" customWidth="1"/>
    <col min="4890" max="4890" width="10.42578125" style="19" customWidth="1"/>
    <col min="4891" max="4891" width="5.85546875" style="19" customWidth="1"/>
    <col min="4892" max="4893" width="1.140625" style="19" customWidth="1"/>
    <col min="4894" max="4894" width="2" style="19" customWidth="1"/>
    <col min="4895" max="4895" width="6.140625" style="19"/>
    <col min="4896" max="4898" width="9.42578125" style="19" bestFit="1" customWidth="1"/>
    <col min="4899" max="5128" width="6.140625" style="19"/>
    <col min="5129" max="5129" width="16.85546875" style="19" bestFit="1" customWidth="1"/>
    <col min="5130" max="5130" width="5.85546875" style="19" customWidth="1"/>
    <col min="5131" max="5131" width="8" style="19" bestFit="1" customWidth="1"/>
    <col min="5132" max="5132" width="8.42578125" style="19" bestFit="1" customWidth="1"/>
    <col min="5133" max="5133" width="9.42578125" style="19" customWidth="1"/>
    <col min="5134" max="5135" width="8.42578125" style="19" bestFit="1" customWidth="1"/>
    <col min="5136" max="5140" width="7.42578125" style="19" bestFit="1" customWidth="1"/>
    <col min="5141" max="5142" width="6.85546875" style="19" bestFit="1" customWidth="1"/>
    <col min="5143" max="5143" width="8" style="19" bestFit="1" customWidth="1"/>
    <col min="5144" max="5144" width="2.42578125" style="19" customWidth="1"/>
    <col min="5145" max="5145" width="14.42578125" style="19" bestFit="1" customWidth="1"/>
    <col min="5146" max="5146" width="10.42578125" style="19" customWidth="1"/>
    <col min="5147" max="5147" width="5.85546875" style="19" customWidth="1"/>
    <col min="5148" max="5149" width="1.140625" style="19" customWidth="1"/>
    <col min="5150" max="5150" width="2" style="19" customWidth="1"/>
    <col min="5151" max="5151" width="6.140625" style="19"/>
    <col min="5152" max="5154" width="9.42578125" style="19" bestFit="1" customWidth="1"/>
    <col min="5155" max="5384" width="6.140625" style="19"/>
    <col min="5385" max="5385" width="16.85546875" style="19" bestFit="1" customWidth="1"/>
    <col min="5386" max="5386" width="5.85546875" style="19" customWidth="1"/>
    <col min="5387" max="5387" width="8" style="19" bestFit="1" customWidth="1"/>
    <col min="5388" max="5388" width="8.42578125" style="19" bestFit="1" customWidth="1"/>
    <col min="5389" max="5389" width="9.42578125" style="19" customWidth="1"/>
    <col min="5390" max="5391" width="8.42578125" style="19" bestFit="1" customWidth="1"/>
    <col min="5392" max="5396" width="7.42578125" style="19" bestFit="1" customWidth="1"/>
    <col min="5397" max="5398" width="6.85546875" style="19" bestFit="1" customWidth="1"/>
    <col min="5399" max="5399" width="8" style="19" bestFit="1" customWidth="1"/>
    <col min="5400" max="5400" width="2.42578125" style="19" customWidth="1"/>
    <col min="5401" max="5401" width="14.42578125" style="19" bestFit="1" customWidth="1"/>
    <col min="5402" max="5402" width="10.42578125" style="19" customWidth="1"/>
    <col min="5403" max="5403" width="5.85546875" style="19" customWidth="1"/>
    <col min="5404" max="5405" width="1.140625" style="19" customWidth="1"/>
    <col min="5406" max="5406" width="2" style="19" customWidth="1"/>
    <col min="5407" max="5407" width="6.140625" style="19"/>
    <col min="5408" max="5410" width="9.42578125" style="19" bestFit="1" customWidth="1"/>
    <col min="5411" max="5640" width="6.140625" style="19"/>
    <col min="5641" max="5641" width="16.85546875" style="19" bestFit="1" customWidth="1"/>
    <col min="5642" max="5642" width="5.85546875" style="19" customWidth="1"/>
    <col min="5643" max="5643" width="8" style="19" bestFit="1" customWidth="1"/>
    <col min="5644" max="5644" width="8.42578125" style="19" bestFit="1" customWidth="1"/>
    <col min="5645" max="5645" width="9.42578125" style="19" customWidth="1"/>
    <col min="5646" max="5647" width="8.42578125" style="19" bestFit="1" customWidth="1"/>
    <col min="5648" max="5652" width="7.42578125" style="19" bestFit="1" customWidth="1"/>
    <col min="5653" max="5654" width="6.85546875" style="19" bestFit="1" customWidth="1"/>
    <col min="5655" max="5655" width="8" style="19" bestFit="1" customWidth="1"/>
    <col min="5656" max="5656" width="2.42578125" style="19" customWidth="1"/>
    <col min="5657" max="5657" width="14.42578125" style="19" bestFit="1" customWidth="1"/>
    <col min="5658" max="5658" width="10.42578125" style="19" customWidth="1"/>
    <col min="5659" max="5659" width="5.85546875" style="19" customWidth="1"/>
    <col min="5660" max="5661" width="1.140625" style="19" customWidth="1"/>
    <col min="5662" max="5662" width="2" style="19" customWidth="1"/>
    <col min="5663" max="5663" width="6.140625" style="19"/>
    <col min="5664" max="5666" width="9.42578125" style="19" bestFit="1" customWidth="1"/>
    <col min="5667" max="5896" width="6.140625" style="19"/>
    <col min="5897" max="5897" width="16.85546875" style="19" bestFit="1" customWidth="1"/>
    <col min="5898" max="5898" width="5.85546875" style="19" customWidth="1"/>
    <col min="5899" max="5899" width="8" style="19" bestFit="1" customWidth="1"/>
    <col min="5900" max="5900" width="8.42578125" style="19" bestFit="1" customWidth="1"/>
    <col min="5901" max="5901" width="9.42578125" style="19" customWidth="1"/>
    <col min="5902" max="5903" width="8.42578125" style="19" bestFit="1" customWidth="1"/>
    <col min="5904" max="5908" width="7.42578125" style="19" bestFit="1" customWidth="1"/>
    <col min="5909" max="5910" width="6.85546875" style="19" bestFit="1" customWidth="1"/>
    <col min="5911" max="5911" width="8" style="19" bestFit="1" customWidth="1"/>
    <col min="5912" max="5912" width="2.42578125" style="19" customWidth="1"/>
    <col min="5913" max="5913" width="14.42578125" style="19" bestFit="1" customWidth="1"/>
    <col min="5914" max="5914" width="10.42578125" style="19" customWidth="1"/>
    <col min="5915" max="5915" width="5.85546875" style="19" customWidth="1"/>
    <col min="5916" max="5917" width="1.140625" style="19" customWidth="1"/>
    <col min="5918" max="5918" width="2" style="19" customWidth="1"/>
    <col min="5919" max="5919" width="6.140625" style="19"/>
    <col min="5920" max="5922" width="9.42578125" style="19" bestFit="1" customWidth="1"/>
    <col min="5923" max="6152" width="6.140625" style="19"/>
    <col min="6153" max="6153" width="16.85546875" style="19" bestFit="1" customWidth="1"/>
    <col min="6154" max="6154" width="5.85546875" style="19" customWidth="1"/>
    <col min="6155" max="6155" width="8" style="19" bestFit="1" customWidth="1"/>
    <col min="6156" max="6156" width="8.42578125" style="19" bestFit="1" customWidth="1"/>
    <col min="6157" max="6157" width="9.42578125" style="19" customWidth="1"/>
    <col min="6158" max="6159" width="8.42578125" style="19" bestFit="1" customWidth="1"/>
    <col min="6160" max="6164" width="7.42578125" style="19" bestFit="1" customWidth="1"/>
    <col min="6165" max="6166" width="6.85546875" style="19" bestFit="1" customWidth="1"/>
    <col min="6167" max="6167" width="8" style="19" bestFit="1" customWidth="1"/>
    <col min="6168" max="6168" width="2.42578125" style="19" customWidth="1"/>
    <col min="6169" max="6169" width="14.42578125" style="19" bestFit="1" customWidth="1"/>
    <col min="6170" max="6170" width="10.42578125" style="19" customWidth="1"/>
    <col min="6171" max="6171" width="5.85546875" style="19" customWidth="1"/>
    <col min="6172" max="6173" width="1.140625" style="19" customWidth="1"/>
    <col min="6174" max="6174" width="2" style="19" customWidth="1"/>
    <col min="6175" max="6175" width="6.140625" style="19"/>
    <col min="6176" max="6178" width="9.42578125" style="19" bestFit="1" customWidth="1"/>
    <col min="6179" max="6408" width="6.140625" style="19"/>
    <col min="6409" max="6409" width="16.85546875" style="19" bestFit="1" customWidth="1"/>
    <col min="6410" max="6410" width="5.85546875" style="19" customWidth="1"/>
    <col min="6411" max="6411" width="8" style="19" bestFit="1" customWidth="1"/>
    <col min="6412" max="6412" width="8.42578125" style="19" bestFit="1" customWidth="1"/>
    <col min="6413" max="6413" width="9.42578125" style="19" customWidth="1"/>
    <col min="6414" max="6415" width="8.42578125" style="19" bestFit="1" customWidth="1"/>
    <col min="6416" max="6420" width="7.42578125" style="19" bestFit="1" customWidth="1"/>
    <col min="6421" max="6422" width="6.85546875" style="19" bestFit="1" customWidth="1"/>
    <col min="6423" max="6423" width="8" style="19" bestFit="1" customWidth="1"/>
    <col min="6424" max="6424" width="2.42578125" style="19" customWidth="1"/>
    <col min="6425" max="6425" width="14.42578125" style="19" bestFit="1" customWidth="1"/>
    <col min="6426" max="6426" width="10.42578125" style="19" customWidth="1"/>
    <col min="6427" max="6427" width="5.85546875" style="19" customWidth="1"/>
    <col min="6428" max="6429" width="1.140625" style="19" customWidth="1"/>
    <col min="6430" max="6430" width="2" style="19" customWidth="1"/>
    <col min="6431" max="6431" width="6.140625" style="19"/>
    <col min="6432" max="6434" width="9.42578125" style="19" bestFit="1" customWidth="1"/>
    <col min="6435" max="6664" width="6.140625" style="19"/>
    <col min="6665" max="6665" width="16.85546875" style="19" bestFit="1" customWidth="1"/>
    <col min="6666" max="6666" width="5.85546875" style="19" customWidth="1"/>
    <col min="6667" max="6667" width="8" style="19" bestFit="1" customWidth="1"/>
    <col min="6668" max="6668" width="8.42578125" style="19" bestFit="1" customWidth="1"/>
    <col min="6669" max="6669" width="9.42578125" style="19" customWidth="1"/>
    <col min="6670" max="6671" width="8.42578125" style="19" bestFit="1" customWidth="1"/>
    <col min="6672" max="6676" width="7.42578125" style="19" bestFit="1" customWidth="1"/>
    <col min="6677" max="6678" width="6.85546875" style="19" bestFit="1" customWidth="1"/>
    <col min="6679" max="6679" width="8" style="19" bestFit="1" customWidth="1"/>
    <col min="6680" max="6680" width="2.42578125" style="19" customWidth="1"/>
    <col min="6681" max="6681" width="14.42578125" style="19" bestFit="1" customWidth="1"/>
    <col min="6682" max="6682" width="10.42578125" style="19" customWidth="1"/>
    <col min="6683" max="6683" width="5.85546875" style="19" customWidth="1"/>
    <col min="6684" max="6685" width="1.140625" style="19" customWidth="1"/>
    <col min="6686" max="6686" width="2" style="19" customWidth="1"/>
    <col min="6687" max="6687" width="6.140625" style="19"/>
    <col min="6688" max="6690" width="9.42578125" style="19" bestFit="1" customWidth="1"/>
    <col min="6691" max="6920" width="6.140625" style="19"/>
    <col min="6921" max="6921" width="16.85546875" style="19" bestFit="1" customWidth="1"/>
    <col min="6922" max="6922" width="5.85546875" style="19" customWidth="1"/>
    <col min="6923" max="6923" width="8" style="19" bestFit="1" customWidth="1"/>
    <col min="6924" max="6924" width="8.42578125" style="19" bestFit="1" customWidth="1"/>
    <col min="6925" max="6925" width="9.42578125" style="19" customWidth="1"/>
    <col min="6926" max="6927" width="8.42578125" style="19" bestFit="1" customWidth="1"/>
    <col min="6928" max="6932" width="7.42578125" style="19" bestFit="1" customWidth="1"/>
    <col min="6933" max="6934" width="6.85546875" style="19" bestFit="1" customWidth="1"/>
    <col min="6935" max="6935" width="8" style="19" bestFit="1" customWidth="1"/>
    <col min="6936" max="6936" width="2.42578125" style="19" customWidth="1"/>
    <col min="6937" max="6937" width="14.42578125" style="19" bestFit="1" customWidth="1"/>
    <col min="6938" max="6938" width="10.42578125" style="19" customWidth="1"/>
    <col min="6939" max="6939" width="5.85546875" style="19" customWidth="1"/>
    <col min="6940" max="6941" width="1.140625" style="19" customWidth="1"/>
    <col min="6942" max="6942" width="2" style="19" customWidth="1"/>
    <col min="6943" max="6943" width="6.140625" style="19"/>
    <col min="6944" max="6946" width="9.42578125" style="19" bestFit="1" customWidth="1"/>
    <col min="6947" max="7176" width="6.140625" style="19"/>
    <col min="7177" max="7177" width="16.85546875" style="19" bestFit="1" customWidth="1"/>
    <col min="7178" max="7178" width="5.85546875" style="19" customWidth="1"/>
    <col min="7179" max="7179" width="8" style="19" bestFit="1" customWidth="1"/>
    <col min="7180" max="7180" width="8.42578125" style="19" bestFit="1" customWidth="1"/>
    <col min="7181" max="7181" width="9.42578125" style="19" customWidth="1"/>
    <col min="7182" max="7183" width="8.42578125" style="19" bestFit="1" customWidth="1"/>
    <col min="7184" max="7188" width="7.42578125" style="19" bestFit="1" customWidth="1"/>
    <col min="7189" max="7190" width="6.85546875" style="19" bestFit="1" customWidth="1"/>
    <col min="7191" max="7191" width="8" style="19" bestFit="1" customWidth="1"/>
    <col min="7192" max="7192" width="2.42578125" style="19" customWidth="1"/>
    <col min="7193" max="7193" width="14.42578125" style="19" bestFit="1" customWidth="1"/>
    <col min="7194" max="7194" width="10.42578125" style="19" customWidth="1"/>
    <col min="7195" max="7195" width="5.85546875" style="19" customWidth="1"/>
    <col min="7196" max="7197" width="1.140625" style="19" customWidth="1"/>
    <col min="7198" max="7198" width="2" style="19" customWidth="1"/>
    <col min="7199" max="7199" width="6.140625" style="19"/>
    <col min="7200" max="7202" width="9.42578125" style="19" bestFit="1" customWidth="1"/>
    <col min="7203" max="7432" width="6.140625" style="19"/>
    <col min="7433" max="7433" width="16.85546875" style="19" bestFit="1" customWidth="1"/>
    <col min="7434" max="7434" width="5.85546875" style="19" customWidth="1"/>
    <col min="7435" max="7435" width="8" style="19" bestFit="1" customWidth="1"/>
    <col min="7436" max="7436" width="8.42578125" style="19" bestFit="1" customWidth="1"/>
    <col min="7437" max="7437" width="9.42578125" style="19" customWidth="1"/>
    <col min="7438" max="7439" width="8.42578125" style="19" bestFit="1" customWidth="1"/>
    <col min="7440" max="7444" width="7.42578125" style="19" bestFit="1" customWidth="1"/>
    <col min="7445" max="7446" width="6.85546875" style="19" bestFit="1" customWidth="1"/>
    <col min="7447" max="7447" width="8" style="19" bestFit="1" customWidth="1"/>
    <col min="7448" max="7448" width="2.42578125" style="19" customWidth="1"/>
    <col min="7449" max="7449" width="14.42578125" style="19" bestFit="1" customWidth="1"/>
    <col min="7450" max="7450" width="10.42578125" style="19" customWidth="1"/>
    <col min="7451" max="7451" width="5.85546875" style="19" customWidth="1"/>
    <col min="7452" max="7453" width="1.140625" style="19" customWidth="1"/>
    <col min="7454" max="7454" width="2" style="19" customWidth="1"/>
    <col min="7455" max="7455" width="6.140625" style="19"/>
    <col min="7456" max="7458" width="9.42578125" style="19" bestFit="1" customWidth="1"/>
    <col min="7459" max="7688" width="6.140625" style="19"/>
    <col min="7689" max="7689" width="16.85546875" style="19" bestFit="1" customWidth="1"/>
    <col min="7690" max="7690" width="5.85546875" style="19" customWidth="1"/>
    <col min="7691" max="7691" width="8" style="19" bestFit="1" customWidth="1"/>
    <col min="7692" max="7692" width="8.42578125" style="19" bestFit="1" customWidth="1"/>
    <col min="7693" max="7693" width="9.42578125" style="19" customWidth="1"/>
    <col min="7694" max="7695" width="8.42578125" style="19" bestFit="1" customWidth="1"/>
    <col min="7696" max="7700" width="7.42578125" style="19" bestFit="1" customWidth="1"/>
    <col min="7701" max="7702" width="6.85546875" style="19" bestFit="1" customWidth="1"/>
    <col min="7703" max="7703" width="8" style="19" bestFit="1" customWidth="1"/>
    <col min="7704" max="7704" width="2.42578125" style="19" customWidth="1"/>
    <col min="7705" max="7705" width="14.42578125" style="19" bestFit="1" customWidth="1"/>
    <col min="7706" max="7706" width="10.42578125" style="19" customWidth="1"/>
    <col min="7707" max="7707" width="5.85546875" style="19" customWidth="1"/>
    <col min="7708" max="7709" width="1.140625" style="19" customWidth="1"/>
    <col min="7710" max="7710" width="2" style="19" customWidth="1"/>
    <col min="7711" max="7711" width="6.140625" style="19"/>
    <col min="7712" max="7714" width="9.42578125" style="19" bestFit="1" customWidth="1"/>
    <col min="7715" max="7944" width="6.140625" style="19"/>
    <col min="7945" max="7945" width="16.85546875" style="19" bestFit="1" customWidth="1"/>
    <col min="7946" max="7946" width="5.85546875" style="19" customWidth="1"/>
    <col min="7947" max="7947" width="8" style="19" bestFit="1" customWidth="1"/>
    <col min="7948" max="7948" width="8.42578125" style="19" bestFit="1" customWidth="1"/>
    <col min="7949" max="7949" width="9.42578125" style="19" customWidth="1"/>
    <col min="7950" max="7951" width="8.42578125" style="19" bestFit="1" customWidth="1"/>
    <col min="7952" max="7956" width="7.42578125" style="19" bestFit="1" customWidth="1"/>
    <col min="7957" max="7958" width="6.85546875" style="19" bestFit="1" customWidth="1"/>
    <col min="7959" max="7959" width="8" style="19" bestFit="1" customWidth="1"/>
    <col min="7960" max="7960" width="2.42578125" style="19" customWidth="1"/>
    <col min="7961" max="7961" width="14.42578125" style="19" bestFit="1" customWidth="1"/>
    <col min="7962" max="7962" width="10.42578125" style="19" customWidth="1"/>
    <col min="7963" max="7963" width="5.85546875" style="19" customWidth="1"/>
    <col min="7964" max="7965" width="1.140625" style="19" customWidth="1"/>
    <col min="7966" max="7966" width="2" style="19" customWidth="1"/>
    <col min="7967" max="7967" width="6.140625" style="19"/>
    <col min="7968" max="7970" width="9.42578125" style="19" bestFit="1" customWidth="1"/>
    <col min="7971" max="8200" width="6.140625" style="19"/>
    <col min="8201" max="8201" width="16.85546875" style="19" bestFit="1" customWidth="1"/>
    <col min="8202" max="8202" width="5.85546875" style="19" customWidth="1"/>
    <col min="8203" max="8203" width="8" style="19" bestFit="1" customWidth="1"/>
    <col min="8204" max="8204" width="8.42578125" style="19" bestFit="1" customWidth="1"/>
    <col min="8205" max="8205" width="9.42578125" style="19" customWidth="1"/>
    <col min="8206" max="8207" width="8.42578125" style="19" bestFit="1" customWidth="1"/>
    <col min="8208" max="8212" width="7.42578125" style="19" bestFit="1" customWidth="1"/>
    <col min="8213" max="8214" width="6.85546875" style="19" bestFit="1" customWidth="1"/>
    <col min="8215" max="8215" width="8" style="19" bestFit="1" customWidth="1"/>
    <col min="8216" max="8216" width="2.42578125" style="19" customWidth="1"/>
    <col min="8217" max="8217" width="14.42578125" style="19" bestFit="1" customWidth="1"/>
    <col min="8218" max="8218" width="10.42578125" style="19" customWidth="1"/>
    <col min="8219" max="8219" width="5.85546875" style="19" customWidth="1"/>
    <col min="8220" max="8221" width="1.140625" style="19" customWidth="1"/>
    <col min="8222" max="8222" width="2" style="19" customWidth="1"/>
    <col min="8223" max="8223" width="6.140625" style="19"/>
    <col min="8224" max="8226" width="9.42578125" style="19" bestFit="1" customWidth="1"/>
    <col min="8227" max="8456" width="6.140625" style="19"/>
    <col min="8457" max="8457" width="16.85546875" style="19" bestFit="1" customWidth="1"/>
    <col min="8458" max="8458" width="5.85546875" style="19" customWidth="1"/>
    <col min="8459" max="8459" width="8" style="19" bestFit="1" customWidth="1"/>
    <col min="8460" max="8460" width="8.42578125" style="19" bestFit="1" customWidth="1"/>
    <col min="8461" max="8461" width="9.42578125" style="19" customWidth="1"/>
    <col min="8462" max="8463" width="8.42578125" style="19" bestFit="1" customWidth="1"/>
    <col min="8464" max="8468" width="7.42578125" style="19" bestFit="1" customWidth="1"/>
    <col min="8469" max="8470" width="6.85546875" style="19" bestFit="1" customWidth="1"/>
    <col min="8471" max="8471" width="8" style="19" bestFit="1" customWidth="1"/>
    <col min="8472" max="8472" width="2.42578125" style="19" customWidth="1"/>
    <col min="8473" max="8473" width="14.42578125" style="19" bestFit="1" customWidth="1"/>
    <col min="8474" max="8474" width="10.42578125" style="19" customWidth="1"/>
    <col min="8475" max="8475" width="5.85546875" style="19" customWidth="1"/>
    <col min="8476" max="8477" width="1.140625" style="19" customWidth="1"/>
    <col min="8478" max="8478" width="2" style="19" customWidth="1"/>
    <col min="8479" max="8479" width="6.140625" style="19"/>
    <col min="8480" max="8482" width="9.42578125" style="19" bestFit="1" customWidth="1"/>
    <col min="8483" max="8712" width="6.140625" style="19"/>
    <col min="8713" max="8713" width="16.85546875" style="19" bestFit="1" customWidth="1"/>
    <col min="8714" max="8714" width="5.85546875" style="19" customWidth="1"/>
    <col min="8715" max="8715" width="8" style="19" bestFit="1" customWidth="1"/>
    <col min="8716" max="8716" width="8.42578125" style="19" bestFit="1" customWidth="1"/>
    <col min="8717" max="8717" width="9.42578125" style="19" customWidth="1"/>
    <col min="8718" max="8719" width="8.42578125" style="19" bestFit="1" customWidth="1"/>
    <col min="8720" max="8724" width="7.42578125" style="19" bestFit="1" customWidth="1"/>
    <col min="8725" max="8726" width="6.85546875" style="19" bestFit="1" customWidth="1"/>
    <col min="8727" max="8727" width="8" style="19" bestFit="1" customWidth="1"/>
    <col min="8728" max="8728" width="2.42578125" style="19" customWidth="1"/>
    <col min="8729" max="8729" width="14.42578125" style="19" bestFit="1" customWidth="1"/>
    <col min="8730" max="8730" width="10.42578125" style="19" customWidth="1"/>
    <col min="8731" max="8731" width="5.85546875" style="19" customWidth="1"/>
    <col min="8732" max="8733" width="1.140625" style="19" customWidth="1"/>
    <col min="8734" max="8734" width="2" style="19" customWidth="1"/>
    <col min="8735" max="8735" width="6.140625" style="19"/>
    <col min="8736" max="8738" width="9.42578125" style="19" bestFit="1" customWidth="1"/>
    <col min="8739" max="8968" width="6.140625" style="19"/>
    <col min="8969" max="8969" width="16.85546875" style="19" bestFit="1" customWidth="1"/>
    <col min="8970" max="8970" width="5.85546875" style="19" customWidth="1"/>
    <col min="8971" max="8971" width="8" style="19" bestFit="1" customWidth="1"/>
    <col min="8972" max="8972" width="8.42578125" style="19" bestFit="1" customWidth="1"/>
    <col min="8973" max="8973" width="9.42578125" style="19" customWidth="1"/>
    <col min="8974" max="8975" width="8.42578125" style="19" bestFit="1" customWidth="1"/>
    <col min="8976" max="8980" width="7.42578125" style="19" bestFit="1" customWidth="1"/>
    <col min="8981" max="8982" width="6.85546875" style="19" bestFit="1" customWidth="1"/>
    <col min="8983" max="8983" width="8" style="19" bestFit="1" customWidth="1"/>
    <col min="8984" max="8984" width="2.42578125" style="19" customWidth="1"/>
    <col min="8985" max="8985" width="14.42578125" style="19" bestFit="1" customWidth="1"/>
    <col min="8986" max="8986" width="10.42578125" style="19" customWidth="1"/>
    <col min="8987" max="8987" width="5.85546875" style="19" customWidth="1"/>
    <col min="8988" max="8989" width="1.140625" style="19" customWidth="1"/>
    <col min="8990" max="8990" width="2" style="19" customWidth="1"/>
    <col min="8991" max="8991" width="6.140625" style="19"/>
    <col min="8992" max="8994" width="9.42578125" style="19" bestFit="1" customWidth="1"/>
    <col min="8995" max="9224" width="6.140625" style="19"/>
    <col min="9225" max="9225" width="16.85546875" style="19" bestFit="1" customWidth="1"/>
    <col min="9226" max="9226" width="5.85546875" style="19" customWidth="1"/>
    <col min="9227" max="9227" width="8" style="19" bestFit="1" customWidth="1"/>
    <col min="9228" max="9228" width="8.42578125" style="19" bestFit="1" customWidth="1"/>
    <col min="9229" max="9229" width="9.42578125" style="19" customWidth="1"/>
    <col min="9230" max="9231" width="8.42578125" style="19" bestFit="1" customWidth="1"/>
    <col min="9232" max="9236" width="7.42578125" style="19" bestFit="1" customWidth="1"/>
    <col min="9237" max="9238" width="6.85546875" style="19" bestFit="1" customWidth="1"/>
    <col min="9239" max="9239" width="8" style="19" bestFit="1" customWidth="1"/>
    <col min="9240" max="9240" width="2.42578125" style="19" customWidth="1"/>
    <col min="9241" max="9241" width="14.42578125" style="19" bestFit="1" customWidth="1"/>
    <col min="9242" max="9242" width="10.42578125" style="19" customWidth="1"/>
    <col min="9243" max="9243" width="5.85546875" style="19" customWidth="1"/>
    <col min="9244" max="9245" width="1.140625" style="19" customWidth="1"/>
    <col min="9246" max="9246" width="2" style="19" customWidth="1"/>
    <col min="9247" max="9247" width="6.140625" style="19"/>
    <col min="9248" max="9250" width="9.42578125" style="19" bestFit="1" customWidth="1"/>
    <col min="9251" max="9480" width="6.140625" style="19"/>
    <col min="9481" max="9481" width="16.85546875" style="19" bestFit="1" customWidth="1"/>
    <col min="9482" max="9482" width="5.85546875" style="19" customWidth="1"/>
    <col min="9483" max="9483" width="8" style="19" bestFit="1" customWidth="1"/>
    <col min="9484" max="9484" width="8.42578125" style="19" bestFit="1" customWidth="1"/>
    <col min="9485" max="9485" width="9.42578125" style="19" customWidth="1"/>
    <col min="9486" max="9487" width="8.42578125" style="19" bestFit="1" customWidth="1"/>
    <col min="9488" max="9492" width="7.42578125" style="19" bestFit="1" customWidth="1"/>
    <col min="9493" max="9494" width="6.85546875" style="19" bestFit="1" customWidth="1"/>
    <col min="9495" max="9495" width="8" style="19" bestFit="1" customWidth="1"/>
    <col min="9496" max="9496" width="2.42578125" style="19" customWidth="1"/>
    <col min="9497" max="9497" width="14.42578125" style="19" bestFit="1" customWidth="1"/>
    <col min="9498" max="9498" width="10.42578125" style="19" customWidth="1"/>
    <col min="9499" max="9499" width="5.85546875" style="19" customWidth="1"/>
    <col min="9500" max="9501" width="1.140625" style="19" customWidth="1"/>
    <col min="9502" max="9502" width="2" style="19" customWidth="1"/>
    <col min="9503" max="9503" width="6.140625" style="19"/>
    <col min="9504" max="9506" width="9.42578125" style="19" bestFit="1" customWidth="1"/>
    <col min="9507" max="9736" width="6.140625" style="19"/>
    <col min="9737" max="9737" width="16.85546875" style="19" bestFit="1" customWidth="1"/>
    <col min="9738" max="9738" width="5.85546875" style="19" customWidth="1"/>
    <col min="9739" max="9739" width="8" style="19" bestFit="1" customWidth="1"/>
    <col min="9740" max="9740" width="8.42578125" style="19" bestFit="1" customWidth="1"/>
    <col min="9741" max="9741" width="9.42578125" style="19" customWidth="1"/>
    <col min="9742" max="9743" width="8.42578125" style="19" bestFit="1" customWidth="1"/>
    <col min="9744" max="9748" width="7.42578125" style="19" bestFit="1" customWidth="1"/>
    <col min="9749" max="9750" width="6.85546875" style="19" bestFit="1" customWidth="1"/>
    <col min="9751" max="9751" width="8" style="19" bestFit="1" customWidth="1"/>
    <col min="9752" max="9752" width="2.42578125" style="19" customWidth="1"/>
    <col min="9753" max="9753" width="14.42578125" style="19" bestFit="1" customWidth="1"/>
    <col min="9754" max="9754" width="10.42578125" style="19" customWidth="1"/>
    <col min="9755" max="9755" width="5.85546875" style="19" customWidth="1"/>
    <col min="9756" max="9757" width="1.140625" style="19" customWidth="1"/>
    <col min="9758" max="9758" width="2" style="19" customWidth="1"/>
    <col min="9759" max="9759" width="6.140625" style="19"/>
    <col min="9760" max="9762" width="9.42578125" style="19" bestFit="1" customWidth="1"/>
    <col min="9763" max="9992" width="6.140625" style="19"/>
    <col min="9993" max="9993" width="16.85546875" style="19" bestFit="1" customWidth="1"/>
    <col min="9994" max="9994" width="5.85546875" style="19" customWidth="1"/>
    <col min="9995" max="9995" width="8" style="19" bestFit="1" customWidth="1"/>
    <col min="9996" max="9996" width="8.42578125" style="19" bestFit="1" customWidth="1"/>
    <col min="9997" max="9997" width="9.42578125" style="19" customWidth="1"/>
    <col min="9998" max="9999" width="8.42578125" style="19" bestFit="1" customWidth="1"/>
    <col min="10000" max="10004" width="7.42578125" style="19" bestFit="1" customWidth="1"/>
    <col min="10005" max="10006" width="6.85546875" style="19" bestFit="1" customWidth="1"/>
    <col min="10007" max="10007" width="8" style="19" bestFit="1" customWidth="1"/>
    <col min="10008" max="10008" width="2.42578125" style="19" customWidth="1"/>
    <col min="10009" max="10009" width="14.42578125" style="19" bestFit="1" customWidth="1"/>
    <col min="10010" max="10010" width="10.42578125" style="19" customWidth="1"/>
    <col min="10011" max="10011" width="5.85546875" style="19" customWidth="1"/>
    <col min="10012" max="10013" width="1.140625" style="19" customWidth="1"/>
    <col min="10014" max="10014" width="2" style="19" customWidth="1"/>
    <col min="10015" max="10015" width="6.140625" style="19"/>
    <col min="10016" max="10018" width="9.42578125" style="19" bestFit="1" customWidth="1"/>
    <col min="10019" max="10248" width="6.140625" style="19"/>
    <col min="10249" max="10249" width="16.85546875" style="19" bestFit="1" customWidth="1"/>
    <col min="10250" max="10250" width="5.85546875" style="19" customWidth="1"/>
    <col min="10251" max="10251" width="8" style="19" bestFit="1" customWidth="1"/>
    <col min="10252" max="10252" width="8.42578125" style="19" bestFit="1" customWidth="1"/>
    <col min="10253" max="10253" width="9.42578125" style="19" customWidth="1"/>
    <col min="10254" max="10255" width="8.42578125" style="19" bestFit="1" customWidth="1"/>
    <col min="10256" max="10260" width="7.42578125" style="19" bestFit="1" customWidth="1"/>
    <col min="10261" max="10262" width="6.85546875" style="19" bestFit="1" customWidth="1"/>
    <col min="10263" max="10263" width="8" style="19" bestFit="1" customWidth="1"/>
    <col min="10264" max="10264" width="2.42578125" style="19" customWidth="1"/>
    <col min="10265" max="10265" width="14.42578125" style="19" bestFit="1" customWidth="1"/>
    <col min="10266" max="10266" width="10.42578125" style="19" customWidth="1"/>
    <col min="10267" max="10267" width="5.85546875" style="19" customWidth="1"/>
    <col min="10268" max="10269" width="1.140625" style="19" customWidth="1"/>
    <col min="10270" max="10270" width="2" style="19" customWidth="1"/>
    <col min="10271" max="10271" width="6.140625" style="19"/>
    <col min="10272" max="10274" width="9.42578125" style="19" bestFit="1" customWidth="1"/>
    <col min="10275" max="10504" width="6.140625" style="19"/>
    <col min="10505" max="10505" width="16.85546875" style="19" bestFit="1" customWidth="1"/>
    <col min="10506" max="10506" width="5.85546875" style="19" customWidth="1"/>
    <col min="10507" max="10507" width="8" style="19" bestFit="1" customWidth="1"/>
    <col min="10508" max="10508" width="8.42578125" style="19" bestFit="1" customWidth="1"/>
    <col min="10509" max="10509" width="9.42578125" style="19" customWidth="1"/>
    <col min="10510" max="10511" width="8.42578125" style="19" bestFit="1" customWidth="1"/>
    <col min="10512" max="10516" width="7.42578125" style="19" bestFit="1" customWidth="1"/>
    <col min="10517" max="10518" width="6.85546875" style="19" bestFit="1" customWidth="1"/>
    <col min="10519" max="10519" width="8" style="19" bestFit="1" customWidth="1"/>
    <col min="10520" max="10520" width="2.42578125" style="19" customWidth="1"/>
    <col min="10521" max="10521" width="14.42578125" style="19" bestFit="1" customWidth="1"/>
    <col min="10522" max="10522" width="10.42578125" style="19" customWidth="1"/>
    <col min="10523" max="10523" width="5.85546875" style="19" customWidth="1"/>
    <col min="10524" max="10525" width="1.140625" style="19" customWidth="1"/>
    <col min="10526" max="10526" width="2" style="19" customWidth="1"/>
    <col min="10527" max="10527" width="6.140625" style="19"/>
    <col min="10528" max="10530" width="9.42578125" style="19" bestFit="1" customWidth="1"/>
    <col min="10531" max="10760" width="6.140625" style="19"/>
    <col min="10761" max="10761" width="16.85546875" style="19" bestFit="1" customWidth="1"/>
    <col min="10762" max="10762" width="5.85546875" style="19" customWidth="1"/>
    <col min="10763" max="10763" width="8" style="19" bestFit="1" customWidth="1"/>
    <col min="10764" max="10764" width="8.42578125" style="19" bestFit="1" customWidth="1"/>
    <col min="10765" max="10765" width="9.42578125" style="19" customWidth="1"/>
    <col min="10766" max="10767" width="8.42578125" style="19" bestFit="1" customWidth="1"/>
    <col min="10768" max="10772" width="7.42578125" style="19" bestFit="1" customWidth="1"/>
    <col min="10773" max="10774" width="6.85546875" style="19" bestFit="1" customWidth="1"/>
    <col min="10775" max="10775" width="8" style="19" bestFit="1" customWidth="1"/>
    <col min="10776" max="10776" width="2.42578125" style="19" customWidth="1"/>
    <col min="10777" max="10777" width="14.42578125" style="19" bestFit="1" customWidth="1"/>
    <col min="10778" max="10778" width="10.42578125" style="19" customWidth="1"/>
    <col min="10779" max="10779" width="5.85546875" style="19" customWidth="1"/>
    <col min="10780" max="10781" width="1.140625" style="19" customWidth="1"/>
    <col min="10782" max="10782" width="2" style="19" customWidth="1"/>
    <col min="10783" max="10783" width="6.140625" style="19"/>
    <col min="10784" max="10786" width="9.42578125" style="19" bestFit="1" customWidth="1"/>
    <col min="10787" max="11016" width="6.140625" style="19"/>
    <col min="11017" max="11017" width="16.85546875" style="19" bestFit="1" customWidth="1"/>
    <col min="11018" max="11018" width="5.85546875" style="19" customWidth="1"/>
    <col min="11019" max="11019" width="8" style="19" bestFit="1" customWidth="1"/>
    <col min="11020" max="11020" width="8.42578125" style="19" bestFit="1" customWidth="1"/>
    <col min="11021" max="11021" width="9.42578125" style="19" customWidth="1"/>
    <col min="11022" max="11023" width="8.42578125" style="19" bestFit="1" customWidth="1"/>
    <col min="11024" max="11028" width="7.42578125" style="19" bestFit="1" customWidth="1"/>
    <col min="11029" max="11030" width="6.85546875" style="19" bestFit="1" customWidth="1"/>
    <col min="11031" max="11031" width="8" style="19" bestFit="1" customWidth="1"/>
    <col min="11032" max="11032" width="2.42578125" style="19" customWidth="1"/>
    <col min="11033" max="11033" width="14.42578125" style="19" bestFit="1" customWidth="1"/>
    <col min="11034" max="11034" width="10.42578125" style="19" customWidth="1"/>
    <col min="11035" max="11035" width="5.85546875" style="19" customWidth="1"/>
    <col min="11036" max="11037" width="1.140625" style="19" customWidth="1"/>
    <col min="11038" max="11038" width="2" style="19" customWidth="1"/>
    <col min="11039" max="11039" width="6.140625" style="19"/>
    <col min="11040" max="11042" width="9.42578125" style="19" bestFit="1" customWidth="1"/>
    <col min="11043" max="11272" width="6.140625" style="19"/>
    <col min="11273" max="11273" width="16.85546875" style="19" bestFit="1" customWidth="1"/>
    <col min="11274" max="11274" width="5.85546875" style="19" customWidth="1"/>
    <col min="11275" max="11275" width="8" style="19" bestFit="1" customWidth="1"/>
    <col min="11276" max="11276" width="8.42578125" style="19" bestFit="1" customWidth="1"/>
    <col min="11277" max="11277" width="9.42578125" style="19" customWidth="1"/>
    <col min="11278" max="11279" width="8.42578125" style="19" bestFit="1" customWidth="1"/>
    <col min="11280" max="11284" width="7.42578125" style="19" bestFit="1" customWidth="1"/>
    <col min="11285" max="11286" width="6.85546875" style="19" bestFit="1" customWidth="1"/>
    <col min="11287" max="11287" width="8" style="19" bestFit="1" customWidth="1"/>
    <col min="11288" max="11288" width="2.42578125" style="19" customWidth="1"/>
    <col min="11289" max="11289" width="14.42578125" style="19" bestFit="1" customWidth="1"/>
    <col min="11290" max="11290" width="10.42578125" style="19" customWidth="1"/>
    <col min="11291" max="11291" width="5.85546875" style="19" customWidth="1"/>
    <col min="11292" max="11293" width="1.140625" style="19" customWidth="1"/>
    <col min="11294" max="11294" width="2" style="19" customWidth="1"/>
    <col min="11295" max="11295" width="6.140625" style="19"/>
    <col min="11296" max="11298" width="9.42578125" style="19" bestFit="1" customWidth="1"/>
    <col min="11299" max="11528" width="6.140625" style="19"/>
    <col min="11529" max="11529" width="16.85546875" style="19" bestFit="1" customWidth="1"/>
    <col min="11530" max="11530" width="5.85546875" style="19" customWidth="1"/>
    <col min="11531" max="11531" width="8" style="19" bestFit="1" customWidth="1"/>
    <col min="11532" max="11532" width="8.42578125" style="19" bestFit="1" customWidth="1"/>
    <col min="11533" max="11533" width="9.42578125" style="19" customWidth="1"/>
    <col min="11534" max="11535" width="8.42578125" style="19" bestFit="1" customWidth="1"/>
    <col min="11536" max="11540" width="7.42578125" style="19" bestFit="1" customWidth="1"/>
    <col min="11541" max="11542" width="6.85546875" style="19" bestFit="1" customWidth="1"/>
    <col min="11543" max="11543" width="8" style="19" bestFit="1" customWidth="1"/>
    <col min="11544" max="11544" width="2.42578125" style="19" customWidth="1"/>
    <col min="11545" max="11545" width="14.42578125" style="19" bestFit="1" customWidth="1"/>
    <col min="11546" max="11546" width="10.42578125" style="19" customWidth="1"/>
    <col min="11547" max="11547" width="5.85546875" style="19" customWidth="1"/>
    <col min="11548" max="11549" width="1.140625" style="19" customWidth="1"/>
    <col min="11550" max="11550" width="2" style="19" customWidth="1"/>
    <col min="11551" max="11551" width="6.140625" style="19"/>
    <col min="11552" max="11554" width="9.42578125" style="19" bestFit="1" customWidth="1"/>
    <col min="11555" max="11784" width="6.140625" style="19"/>
    <col min="11785" max="11785" width="16.85546875" style="19" bestFit="1" customWidth="1"/>
    <col min="11786" max="11786" width="5.85546875" style="19" customWidth="1"/>
    <col min="11787" max="11787" width="8" style="19" bestFit="1" customWidth="1"/>
    <col min="11788" max="11788" width="8.42578125" style="19" bestFit="1" customWidth="1"/>
    <col min="11789" max="11789" width="9.42578125" style="19" customWidth="1"/>
    <col min="11790" max="11791" width="8.42578125" style="19" bestFit="1" customWidth="1"/>
    <col min="11792" max="11796" width="7.42578125" style="19" bestFit="1" customWidth="1"/>
    <col min="11797" max="11798" width="6.85546875" style="19" bestFit="1" customWidth="1"/>
    <col min="11799" max="11799" width="8" style="19" bestFit="1" customWidth="1"/>
    <col min="11800" max="11800" width="2.42578125" style="19" customWidth="1"/>
    <col min="11801" max="11801" width="14.42578125" style="19" bestFit="1" customWidth="1"/>
    <col min="11802" max="11802" width="10.42578125" style="19" customWidth="1"/>
    <col min="11803" max="11803" width="5.85546875" style="19" customWidth="1"/>
    <col min="11804" max="11805" width="1.140625" style="19" customWidth="1"/>
    <col min="11806" max="11806" width="2" style="19" customWidth="1"/>
    <col min="11807" max="11807" width="6.140625" style="19"/>
    <col min="11808" max="11810" width="9.42578125" style="19" bestFit="1" customWidth="1"/>
    <col min="11811" max="12040" width="6.140625" style="19"/>
    <col min="12041" max="12041" width="16.85546875" style="19" bestFit="1" customWidth="1"/>
    <col min="12042" max="12042" width="5.85546875" style="19" customWidth="1"/>
    <col min="12043" max="12043" width="8" style="19" bestFit="1" customWidth="1"/>
    <col min="12044" max="12044" width="8.42578125" style="19" bestFit="1" customWidth="1"/>
    <col min="12045" max="12045" width="9.42578125" style="19" customWidth="1"/>
    <col min="12046" max="12047" width="8.42578125" style="19" bestFit="1" customWidth="1"/>
    <col min="12048" max="12052" width="7.42578125" style="19" bestFit="1" customWidth="1"/>
    <col min="12053" max="12054" width="6.85546875" style="19" bestFit="1" customWidth="1"/>
    <col min="12055" max="12055" width="8" style="19" bestFit="1" customWidth="1"/>
    <col min="12056" max="12056" width="2.42578125" style="19" customWidth="1"/>
    <col min="12057" max="12057" width="14.42578125" style="19" bestFit="1" customWidth="1"/>
    <col min="12058" max="12058" width="10.42578125" style="19" customWidth="1"/>
    <col min="12059" max="12059" width="5.85546875" style="19" customWidth="1"/>
    <col min="12060" max="12061" width="1.140625" style="19" customWidth="1"/>
    <col min="12062" max="12062" width="2" style="19" customWidth="1"/>
    <col min="12063" max="12063" width="6.140625" style="19"/>
    <col min="12064" max="12066" width="9.42578125" style="19" bestFit="1" customWidth="1"/>
    <col min="12067" max="12296" width="6.140625" style="19"/>
    <col min="12297" max="12297" width="16.85546875" style="19" bestFit="1" customWidth="1"/>
    <col min="12298" max="12298" width="5.85546875" style="19" customWidth="1"/>
    <col min="12299" max="12299" width="8" style="19" bestFit="1" customWidth="1"/>
    <col min="12300" max="12300" width="8.42578125" style="19" bestFit="1" customWidth="1"/>
    <col min="12301" max="12301" width="9.42578125" style="19" customWidth="1"/>
    <col min="12302" max="12303" width="8.42578125" style="19" bestFit="1" customWidth="1"/>
    <col min="12304" max="12308" width="7.42578125" style="19" bestFit="1" customWidth="1"/>
    <col min="12309" max="12310" width="6.85546875" style="19" bestFit="1" customWidth="1"/>
    <col min="12311" max="12311" width="8" style="19" bestFit="1" customWidth="1"/>
    <col min="12312" max="12312" width="2.42578125" style="19" customWidth="1"/>
    <col min="12313" max="12313" width="14.42578125" style="19" bestFit="1" customWidth="1"/>
    <col min="12314" max="12314" width="10.42578125" style="19" customWidth="1"/>
    <col min="12315" max="12315" width="5.85546875" style="19" customWidth="1"/>
    <col min="12316" max="12317" width="1.140625" style="19" customWidth="1"/>
    <col min="12318" max="12318" width="2" style="19" customWidth="1"/>
    <col min="12319" max="12319" width="6.140625" style="19"/>
    <col min="12320" max="12322" width="9.42578125" style="19" bestFit="1" customWidth="1"/>
    <col min="12323" max="12552" width="6.140625" style="19"/>
    <col min="12553" max="12553" width="16.85546875" style="19" bestFit="1" customWidth="1"/>
    <col min="12554" max="12554" width="5.85546875" style="19" customWidth="1"/>
    <col min="12555" max="12555" width="8" style="19" bestFit="1" customWidth="1"/>
    <col min="12556" max="12556" width="8.42578125" style="19" bestFit="1" customWidth="1"/>
    <col min="12557" max="12557" width="9.42578125" style="19" customWidth="1"/>
    <col min="12558" max="12559" width="8.42578125" style="19" bestFit="1" customWidth="1"/>
    <col min="12560" max="12564" width="7.42578125" style="19" bestFit="1" customWidth="1"/>
    <col min="12565" max="12566" width="6.85546875" style="19" bestFit="1" customWidth="1"/>
    <col min="12567" max="12567" width="8" style="19" bestFit="1" customWidth="1"/>
    <col min="12568" max="12568" width="2.42578125" style="19" customWidth="1"/>
    <col min="12569" max="12569" width="14.42578125" style="19" bestFit="1" customWidth="1"/>
    <col min="12570" max="12570" width="10.42578125" style="19" customWidth="1"/>
    <col min="12571" max="12571" width="5.85546875" style="19" customWidth="1"/>
    <col min="12572" max="12573" width="1.140625" style="19" customWidth="1"/>
    <col min="12574" max="12574" width="2" style="19" customWidth="1"/>
    <col min="12575" max="12575" width="6.140625" style="19"/>
    <col min="12576" max="12578" width="9.42578125" style="19" bestFit="1" customWidth="1"/>
    <col min="12579" max="12808" width="6.140625" style="19"/>
    <col min="12809" max="12809" width="16.85546875" style="19" bestFit="1" customWidth="1"/>
    <col min="12810" max="12810" width="5.85546875" style="19" customWidth="1"/>
    <col min="12811" max="12811" width="8" style="19" bestFit="1" customWidth="1"/>
    <col min="12812" max="12812" width="8.42578125" style="19" bestFit="1" customWidth="1"/>
    <col min="12813" max="12813" width="9.42578125" style="19" customWidth="1"/>
    <col min="12814" max="12815" width="8.42578125" style="19" bestFit="1" customWidth="1"/>
    <col min="12816" max="12820" width="7.42578125" style="19" bestFit="1" customWidth="1"/>
    <col min="12821" max="12822" width="6.85546875" style="19" bestFit="1" customWidth="1"/>
    <col min="12823" max="12823" width="8" style="19" bestFit="1" customWidth="1"/>
    <col min="12824" max="12824" width="2.42578125" style="19" customWidth="1"/>
    <col min="12825" max="12825" width="14.42578125" style="19" bestFit="1" customWidth="1"/>
    <col min="12826" max="12826" width="10.42578125" style="19" customWidth="1"/>
    <col min="12827" max="12827" width="5.85546875" style="19" customWidth="1"/>
    <col min="12828" max="12829" width="1.140625" style="19" customWidth="1"/>
    <col min="12830" max="12830" width="2" style="19" customWidth="1"/>
    <col min="12831" max="12831" width="6.140625" style="19"/>
    <col min="12832" max="12834" width="9.42578125" style="19" bestFit="1" customWidth="1"/>
    <col min="12835" max="13064" width="6.140625" style="19"/>
    <col min="13065" max="13065" width="16.85546875" style="19" bestFit="1" customWidth="1"/>
    <col min="13066" max="13066" width="5.85546875" style="19" customWidth="1"/>
    <col min="13067" max="13067" width="8" style="19" bestFit="1" customWidth="1"/>
    <col min="13068" max="13068" width="8.42578125" style="19" bestFit="1" customWidth="1"/>
    <col min="13069" max="13069" width="9.42578125" style="19" customWidth="1"/>
    <col min="13070" max="13071" width="8.42578125" style="19" bestFit="1" customWidth="1"/>
    <col min="13072" max="13076" width="7.42578125" style="19" bestFit="1" customWidth="1"/>
    <col min="13077" max="13078" width="6.85546875" style="19" bestFit="1" customWidth="1"/>
    <col min="13079" max="13079" width="8" style="19" bestFit="1" customWidth="1"/>
    <col min="13080" max="13080" width="2.42578125" style="19" customWidth="1"/>
    <col min="13081" max="13081" width="14.42578125" style="19" bestFit="1" customWidth="1"/>
    <col min="13082" max="13082" width="10.42578125" style="19" customWidth="1"/>
    <col min="13083" max="13083" width="5.85546875" style="19" customWidth="1"/>
    <col min="13084" max="13085" width="1.140625" style="19" customWidth="1"/>
    <col min="13086" max="13086" width="2" style="19" customWidth="1"/>
    <col min="13087" max="13087" width="6.140625" style="19"/>
    <col min="13088" max="13090" width="9.42578125" style="19" bestFit="1" customWidth="1"/>
    <col min="13091" max="13320" width="6.140625" style="19"/>
    <col min="13321" max="13321" width="16.85546875" style="19" bestFit="1" customWidth="1"/>
    <col min="13322" max="13322" width="5.85546875" style="19" customWidth="1"/>
    <col min="13323" max="13323" width="8" style="19" bestFit="1" customWidth="1"/>
    <col min="13324" max="13324" width="8.42578125" style="19" bestFit="1" customWidth="1"/>
    <col min="13325" max="13325" width="9.42578125" style="19" customWidth="1"/>
    <col min="13326" max="13327" width="8.42578125" style="19" bestFit="1" customWidth="1"/>
    <col min="13328" max="13332" width="7.42578125" style="19" bestFit="1" customWidth="1"/>
    <col min="13333" max="13334" width="6.85546875" style="19" bestFit="1" customWidth="1"/>
    <col min="13335" max="13335" width="8" style="19" bestFit="1" customWidth="1"/>
    <col min="13336" max="13336" width="2.42578125" style="19" customWidth="1"/>
    <col min="13337" max="13337" width="14.42578125" style="19" bestFit="1" customWidth="1"/>
    <col min="13338" max="13338" width="10.42578125" style="19" customWidth="1"/>
    <col min="13339" max="13339" width="5.85546875" style="19" customWidth="1"/>
    <col min="13340" max="13341" width="1.140625" style="19" customWidth="1"/>
    <col min="13342" max="13342" width="2" style="19" customWidth="1"/>
    <col min="13343" max="13343" width="6.140625" style="19"/>
    <col min="13344" max="13346" width="9.42578125" style="19" bestFit="1" customWidth="1"/>
    <col min="13347" max="13576" width="6.140625" style="19"/>
    <col min="13577" max="13577" width="16.85546875" style="19" bestFit="1" customWidth="1"/>
    <col min="13578" max="13578" width="5.85546875" style="19" customWidth="1"/>
    <col min="13579" max="13579" width="8" style="19" bestFit="1" customWidth="1"/>
    <col min="13580" max="13580" width="8.42578125" style="19" bestFit="1" customWidth="1"/>
    <col min="13581" max="13581" width="9.42578125" style="19" customWidth="1"/>
    <col min="13582" max="13583" width="8.42578125" style="19" bestFit="1" customWidth="1"/>
    <col min="13584" max="13588" width="7.42578125" style="19" bestFit="1" customWidth="1"/>
    <col min="13589" max="13590" width="6.85546875" style="19" bestFit="1" customWidth="1"/>
    <col min="13591" max="13591" width="8" style="19" bestFit="1" customWidth="1"/>
    <col min="13592" max="13592" width="2.42578125" style="19" customWidth="1"/>
    <col min="13593" max="13593" width="14.42578125" style="19" bestFit="1" customWidth="1"/>
    <col min="13594" max="13594" width="10.42578125" style="19" customWidth="1"/>
    <col min="13595" max="13595" width="5.85546875" style="19" customWidth="1"/>
    <col min="13596" max="13597" width="1.140625" style="19" customWidth="1"/>
    <col min="13598" max="13598" width="2" style="19" customWidth="1"/>
    <col min="13599" max="13599" width="6.140625" style="19"/>
    <col min="13600" max="13602" width="9.42578125" style="19" bestFit="1" customWidth="1"/>
    <col min="13603" max="13832" width="6.140625" style="19"/>
    <col min="13833" max="13833" width="16.85546875" style="19" bestFit="1" customWidth="1"/>
    <col min="13834" max="13834" width="5.85546875" style="19" customWidth="1"/>
    <col min="13835" max="13835" width="8" style="19" bestFit="1" customWidth="1"/>
    <col min="13836" max="13836" width="8.42578125" style="19" bestFit="1" customWidth="1"/>
    <col min="13837" max="13837" width="9.42578125" style="19" customWidth="1"/>
    <col min="13838" max="13839" width="8.42578125" style="19" bestFit="1" customWidth="1"/>
    <col min="13840" max="13844" width="7.42578125" style="19" bestFit="1" customWidth="1"/>
    <col min="13845" max="13846" width="6.85546875" style="19" bestFit="1" customWidth="1"/>
    <col min="13847" max="13847" width="8" style="19" bestFit="1" customWidth="1"/>
    <col min="13848" max="13848" width="2.42578125" style="19" customWidth="1"/>
    <col min="13849" max="13849" width="14.42578125" style="19" bestFit="1" customWidth="1"/>
    <col min="13850" max="13850" width="10.42578125" style="19" customWidth="1"/>
    <col min="13851" max="13851" width="5.85546875" style="19" customWidth="1"/>
    <col min="13852" max="13853" width="1.140625" style="19" customWidth="1"/>
    <col min="13854" max="13854" width="2" style="19" customWidth="1"/>
    <col min="13855" max="13855" width="6.140625" style="19"/>
    <col min="13856" max="13858" width="9.42578125" style="19" bestFit="1" customWidth="1"/>
    <col min="13859" max="14088" width="6.140625" style="19"/>
    <col min="14089" max="14089" width="16.85546875" style="19" bestFit="1" customWidth="1"/>
    <col min="14090" max="14090" width="5.85546875" style="19" customWidth="1"/>
    <col min="14091" max="14091" width="8" style="19" bestFit="1" customWidth="1"/>
    <col min="14092" max="14092" width="8.42578125" style="19" bestFit="1" customWidth="1"/>
    <col min="14093" max="14093" width="9.42578125" style="19" customWidth="1"/>
    <col min="14094" max="14095" width="8.42578125" style="19" bestFit="1" customWidth="1"/>
    <col min="14096" max="14100" width="7.42578125" style="19" bestFit="1" customWidth="1"/>
    <col min="14101" max="14102" width="6.85546875" style="19" bestFit="1" customWidth="1"/>
    <col min="14103" max="14103" width="8" style="19" bestFit="1" customWidth="1"/>
    <col min="14104" max="14104" width="2.42578125" style="19" customWidth="1"/>
    <col min="14105" max="14105" width="14.42578125" style="19" bestFit="1" customWidth="1"/>
    <col min="14106" max="14106" width="10.42578125" style="19" customWidth="1"/>
    <col min="14107" max="14107" width="5.85546875" style="19" customWidth="1"/>
    <col min="14108" max="14109" width="1.140625" style="19" customWidth="1"/>
    <col min="14110" max="14110" width="2" style="19" customWidth="1"/>
    <col min="14111" max="14111" width="6.140625" style="19"/>
    <col min="14112" max="14114" width="9.42578125" style="19" bestFit="1" customWidth="1"/>
    <col min="14115" max="14344" width="6.140625" style="19"/>
    <col min="14345" max="14345" width="16.85546875" style="19" bestFit="1" customWidth="1"/>
    <col min="14346" max="14346" width="5.85546875" style="19" customWidth="1"/>
    <col min="14347" max="14347" width="8" style="19" bestFit="1" customWidth="1"/>
    <col min="14348" max="14348" width="8.42578125" style="19" bestFit="1" customWidth="1"/>
    <col min="14349" max="14349" width="9.42578125" style="19" customWidth="1"/>
    <col min="14350" max="14351" width="8.42578125" style="19" bestFit="1" customWidth="1"/>
    <col min="14352" max="14356" width="7.42578125" style="19" bestFit="1" customWidth="1"/>
    <col min="14357" max="14358" width="6.85546875" style="19" bestFit="1" customWidth="1"/>
    <col min="14359" max="14359" width="8" style="19" bestFit="1" customWidth="1"/>
    <col min="14360" max="14360" width="2.42578125" style="19" customWidth="1"/>
    <col min="14361" max="14361" width="14.42578125" style="19" bestFit="1" customWidth="1"/>
    <col min="14362" max="14362" width="10.42578125" style="19" customWidth="1"/>
    <col min="14363" max="14363" width="5.85546875" style="19" customWidth="1"/>
    <col min="14364" max="14365" width="1.140625" style="19" customWidth="1"/>
    <col min="14366" max="14366" width="2" style="19" customWidth="1"/>
    <col min="14367" max="14367" width="6.140625" style="19"/>
    <col min="14368" max="14370" width="9.42578125" style="19" bestFit="1" customWidth="1"/>
    <col min="14371" max="14600" width="6.140625" style="19"/>
    <col min="14601" max="14601" width="16.85546875" style="19" bestFit="1" customWidth="1"/>
    <col min="14602" max="14602" width="5.85546875" style="19" customWidth="1"/>
    <col min="14603" max="14603" width="8" style="19" bestFit="1" customWidth="1"/>
    <col min="14604" max="14604" width="8.42578125" style="19" bestFit="1" customWidth="1"/>
    <col min="14605" max="14605" width="9.42578125" style="19" customWidth="1"/>
    <col min="14606" max="14607" width="8.42578125" style="19" bestFit="1" customWidth="1"/>
    <col min="14608" max="14612" width="7.42578125" style="19" bestFit="1" customWidth="1"/>
    <col min="14613" max="14614" width="6.85546875" style="19" bestFit="1" customWidth="1"/>
    <col min="14615" max="14615" width="8" style="19" bestFit="1" customWidth="1"/>
    <col min="14616" max="14616" width="2.42578125" style="19" customWidth="1"/>
    <col min="14617" max="14617" width="14.42578125" style="19" bestFit="1" customWidth="1"/>
    <col min="14618" max="14618" width="10.42578125" style="19" customWidth="1"/>
    <col min="14619" max="14619" width="5.85546875" style="19" customWidth="1"/>
    <col min="14620" max="14621" width="1.140625" style="19" customWidth="1"/>
    <col min="14622" max="14622" width="2" style="19" customWidth="1"/>
    <col min="14623" max="14623" width="6.140625" style="19"/>
    <col min="14624" max="14626" width="9.42578125" style="19" bestFit="1" customWidth="1"/>
    <col min="14627" max="14856" width="6.140625" style="19"/>
    <col min="14857" max="14857" width="16.85546875" style="19" bestFit="1" customWidth="1"/>
    <col min="14858" max="14858" width="5.85546875" style="19" customWidth="1"/>
    <col min="14859" max="14859" width="8" style="19" bestFit="1" customWidth="1"/>
    <col min="14860" max="14860" width="8.42578125" style="19" bestFit="1" customWidth="1"/>
    <col min="14861" max="14861" width="9.42578125" style="19" customWidth="1"/>
    <col min="14862" max="14863" width="8.42578125" style="19" bestFit="1" customWidth="1"/>
    <col min="14864" max="14868" width="7.42578125" style="19" bestFit="1" customWidth="1"/>
    <col min="14869" max="14870" width="6.85546875" style="19" bestFit="1" customWidth="1"/>
    <col min="14871" max="14871" width="8" style="19" bestFit="1" customWidth="1"/>
    <col min="14872" max="14872" width="2.42578125" style="19" customWidth="1"/>
    <col min="14873" max="14873" width="14.42578125" style="19" bestFit="1" customWidth="1"/>
    <col min="14874" max="14874" width="10.42578125" style="19" customWidth="1"/>
    <col min="14875" max="14875" width="5.85546875" style="19" customWidth="1"/>
    <col min="14876" max="14877" width="1.140625" style="19" customWidth="1"/>
    <col min="14878" max="14878" width="2" style="19" customWidth="1"/>
    <col min="14879" max="14879" width="6.140625" style="19"/>
    <col min="14880" max="14882" width="9.42578125" style="19" bestFit="1" customWidth="1"/>
    <col min="14883" max="15112" width="6.140625" style="19"/>
    <col min="15113" max="15113" width="16.85546875" style="19" bestFit="1" customWidth="1"/>
    <col min="15114" max="15114" width="5.85546875" style="19" customWidth="1"/>
    <col min="15115" max="15115" width="8" style="19" bestFit="1" customWidth="1"/>
    <col min="15116" max="15116" width="8.42578125" style="19" bestFit="1" customWidth="1"/>
    <col min="15117" max="15117" width="9.42578125" style="19" customWidth="1"/>
    <col min="15118" max="15119" width="8.42578125" style="19" bestFit="1" customWidth="1"/>
    <col min="15120" max="15124" width="7.42578125" style="19" bestFit="1" customWidth="1"/>
    <col min="15125" max="15126" width="6.85546875" style="19" bestFit="1" customWidth="1"/>
    <col min="15127" max="15127" width="8" style="19" bestFit="1" customWidth="1"/>
    <col min="15128" max="15128" width="2.42578125" style="19" customWidth="1"/>
    <col min="15129" max="15129" width="14.42578125" style="19" bestFit="1" customWidth="1"/>
    <col min="15130" max="15130" width="10.42578125" style="19" customWidth="1"/>
    <col min="15131" max="15131" width="5.85546875" style="19" customWidth="1"/>
    <col min="15132" max="15133" width="1.140625" style="19" customWidth="1"/>
    <col min="15134" max="15134" width="2" style="19" customWidth="1"/>
    <col min="15135" max="15135" width="6.140625" style="19"/>
    <col min="15136" max="15138" width="9.42578125" style="19" bestFit="1" customWidth="1"/>
    <col min="15139" max="15368" width="6.140625" style="19"/>
    <col min="15369" max="15369" width="16.85546875" style="19" bestFit="1" customWidth="1"/>
    <col min="15370" max="15370" width="5.85546875" style="19" customWidth="1"/>
    <col min="15371" max="15371" width="8" style="19" bestFit="1" customWidth="1"/>
    <col min="15372" max="15372" width="8.42578125" style="19" bestFit="1" customWidth="1"/>
    <col min="15373" max="15373" width="9.42578125" style="19" customWidth="1"/>
    <col min="15374" max="15375" width="8.42578125" style="19" bestFit="1" customWidth="1"/>
    <col min="15376" max="15380" width="7.42578125" style="19" bestFit="1" customWidth="1"/>
    <col min="15381" max="15382" width="6.85546875" style="19" bestFit="1" customWidth="1"/>
    <col min="15383" max="15383" width="8" style="19" bestFit="1" customWidth="1"/>
    <col min="15384" max="15384" width="2.42578125" style="19" customWidth="1"/>
    <col min="15385" max="15385" width="14.42578125" style="19" bestFit="1" customWidth="1"/>
    <col min="15386" max="15386" width="10.42578125" style="19" customWidth="1"/>
    <col min="15387" max="15387" width="5.85546875" style="19" customWidth="1"/>
    <col min="15388" max="15389" width="1.140625" style="19" customWidth="1"/>
    <col min="15390" max="15390" width="2" style="19" customWidth="1"/>
    <col min="15391" max="15391" width="6.140625" style="19"/>
    <col min="15392" max="15394" width="9.42578125" style="19" bestFit="1" customWidth="1"/>
    <col min="15395" max="15624" width="6.140625" style="19"/>
    <col min="15625" max="15625" width="16.85546875" style="19" bestFit="1" customWidth="1"/>
    <col min="15626" max="15626" width="5.85546875" style="19" customWidth="1"/>
    <col min="15627" max="15627" width="8" style="19" bestFit="1" customWidth="1"/>
    <col min="15628" max="15628" width="8.42578125" style="19" bestFit="1" customWidth="1"/>
    <col min="15629" max="15629" width="9.42578125" style="19" customWidth="1"/>
    <col min="15630" max="15631" width="8.42578125" style="19" bestFit="1" customWidth="1"/>
    <col min="15632" max="15636" width="7.42578125" style="19" bestFit="1" customWidth="1"/>
    <col min="15637" max="15638" width="6.85546875" style="19" bestFit="1" customWidth="1"/>
    <col min="15639" max="15639" width="8" style="19" bestFit="1" customWidth="1"/>
    <col min="15640" max="15640" width="2.42578125" style="19" customWidth="1"/>
    <col min="15641" max="15641" width="14.42578125" style="19" bestFit="1" customWidth="1"/>
    <col min="15642" max="15642" width="10.42578125" style="19" customWidth="1"/>
    <col min="15643" max="15643" width="5.85546875" style="19" customWidth="1"/>
    <col min="15644" max="15645" width="1.140625" style="19" customWidth="1"/>
    <col min="15646" max="15646" width="2" style="19" customWidth="1"/>
    <col min="15647" max="15647" width="6.140625" style="19"/>
    <col min="15648" max="15650" width="9.42578125" style="19" bestFit="1" customWidth="1"/>
    <col min="15651" max="15880" width="6.140625" style="19"/>
    <col min="15881" max="15881" width="16.85546875" style="19" bestFit="1" customWidth="1"/>
    <col min="15882" max="15882" width="5.85546875" style="19" customWidth="1"/>
    <col min="15883" max="15883" width="8" style="19" bestFit="1" customWidth="1"/>
    <col min="15884" max="15884" width="8.42578125" style="19" bestFit="1" customWidth="1"/>
    <col min="15885" max="15885" width="9.42578125" style="19" customWidth="1"/>
    <col min="15886" max="15887" width="8.42578125" style="19" bestFit="1" customWidth="1"/>
    <col min="15888" max="15892" width="7.42578125" style="19" bestFit="1" customWidth="1"/>
    <col min="15893" max="15894" width="6.85546875" style="19" bestFit="1" customWidth="1"/>
    <col min="15895" max="15895" width="8" style="19" bestFit="1" customWidth="1"/>
    <col min="15896" max="15896" width="2.42578125" style="19" customWidth="1"/>
    <col min="15897" max="15897" width="14.42578125" style="19" bestFit="1" customWidth="1"/>
    <col min="15898" max="15898" width="10.42578125" style="19" customWidth="1"/>
    <col min="15899" max="15899" width="5.85546875" style="19" customWidth="1"/>
    <col min="15900" max="15901" width="1.140625" style="19" customWidth="1"/>
    <col min="15902" max="15902" width="2" style="19" customWidth="1"/>
    <col min="15903" max="15903" width="6.140625" style="19"/>
    <col min="15904" max="15906" width="9.42578125" style="19" bestFit="1" customWidth="1"/>
    <col min="15907" max="16136" width="6.140625" style="19"/>
    <col min="16137" max="16137" width="16.85546875" style="19" bestFit="1" customWidth="1"/>
    <col min="16138" max="16138" width="5.85546875" style="19" customWidth="1"/>
    <col min="16139" max="16139" width="8" style="19" bestFit="1" customWidth="1"/>
    <col min="16140" max="16140" width="8.42578125" style="19" bestFit="1" customWidth="1"/>
    <col min="16141" max="16141" width="9.42578125" style="19" customWidth="1"/>
    <col min="16142" max="16143" width="8.42578125" style="19" bestFit="1" customWidth="1"/>
    <col min="16144" max="16148" width="7.42578125" style="19" bestFit="1" customWidth="1"/>
    <col min="16149" max="16150" width="6.85546875" style="19" bestFit="1" customWidth="1"/>
    <col min="16151" max="16151" width="8" style="19" bestFit="1" customWidth="1"/>
    <col min="16152" max="16152" width="2.42578125" style="19" customWidth="1"/>
    <col min="16153" max="16153" width="14.42578125" style="19" bestFit="1" customWidth="1"/>
    <col min="16154" max="16154" width="10.42578125" style="19" customWidth="1"/>
    <col min="16155" max="16155" width="5.85546875" style="19" customWidth="1"/>
    <col min="16156" max="16157" width="1.140625" style="19" customWidth="1"/>
    <col min="16158" max="16158" width="2" style="19" customWidth="1"/>
    <col min="16159" max="16159" width="6.140625" style="19"/>
    <col min="16160" max="16162" width="9.42578125" style="19" bestFit="1" customWidth="1"/>
    <col min="16163" max="16384" width="6.140625" style="19"/>
  </cols>
  <sheetData>
    <row r="1" spans="1:65" s="220" customFormat="1" ht="27.75" customHeight="1">
      <c r="A1" s="418" t="s">
        <v>32</v>
      </c>
      <c r="B1" s="419"/>
      <c r="C1" s="419"/>
      <c r="D1" s="419"/>
      <c r="E1" s="419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65" s="265" customFormat="1" ht="20.45" customHeight="1">
      <c r="A2" s="264"/>
      <c r="B2" s="59"/>
      <c r="C2" s="59"/>
      <c r="D2" s="59"/>
      <c r="E2" s="59"/>
      <c r="F2" s="166"/>
      <c r="G2" s="166"/>
      <c r="H2" s="422" t="s">
        <v>33</v>
      </c>
      <c r="I2" s="423"/>
      <c r="J2" s="423"/>
      <c r="K2" s="423"/>
      <c r="L2" s="424"/>
      <c r="M2" s="296"/>
      <c r="N2" s="166"/>
      <c r="O2" s="166"/>
      <c r="P2" s="422" t="s">
        <v>34</v>
      </c>
      <c r="Q2" s="423"/>
      <c r="R2" s="423"/>
      <c r="S2" s="423"/>
      <c r="T2" s="215"/>
      <c r="U2" s="19"/>
      <c r="V2" s="19"/>
      <c r="W2" s="19"/>
      <c r="X2" s="422" t="s">
        <v>35</v>
      </c>
      <c r="Y2" s="423"/>
      <c r="Z2" s="423"/>
      <c r="AA2" s="423"/>
      <c r="AB2" s="215"/>
      <c r="AC2" s="19"/>
      <c r="AD2" s="19"/>
      <c r="AE2" s="19"/>
      <c r="AF2" s="422" t="s">
        <v>36</v>
      </c>
      <c r="AG2" s="423"/>
      <c r="AH2" s="423"/>
      <c r="AI2" s="423"/>
      <c r="AJ2" s="337"/>
    </row>
    <row r="3" spans="1:65" ht="14.25" customHeight="1">
      <c r="A3" s="165"/>
      <c r="B3" s="166"/>
      <c r="C3" s="166"/>
      <c r="D3" s="166"/>
      <c r="E3" s="166"/>
      <c r="F3" s="166"/>
      <c r="G3" s="295"/>
      <c r="H3" s="344"/>
      <c r="I3" s="286"/>
      <c r="J3" s="342" t="s">
        <v>12</v>
      </c>
      <c r="K3" s="342" t="s">
        <v>37</v>
      </c>
      <c r="L3" s="343" t="s">
        <v>16</v>
      </c>
      <c r="M3" s="166"/>
      <c r="N3" s="166"/>
      <c r="P3" s="425" t="s">
        <v>38</v>
      </c>
      <c r="Q3" s="426"/>
      <c r="R3" s="426"/>
      <c r="S3" s="427"/>
      <c r="X3" s="425" t="s">
        <v>38</v>
      </c>
      <c r="Y3" s="426"/>
      <c r="Z3" s="426"/>
      <c r="AA3" s="427"/>
      <c r="AF3" s="338"/>
      <c r="AG3" s="339" t="s">
        <v>38</v>
      </c>
      <c r="AH3" s="339"/>
      <c r="AI3" s="340"/>
    </row>
    <row r="4" spans="1:65" ht="14.25" customHeight="1">
      <c r="A4" s="165"/>
      <c r="B4" s="166"/>
      <c r="C4" s="166"/>
      <c r="D4" s="166"/>
      <c r="E4" s="166"/>
      <c r="F4" s="166"/>
      <c r="G4" s="295"/>
      <c r="H4" s="213" t="s">
        <v>39</v>
      </c>
      <c r="I4" s="43"/>
      <c r="J4" s="302">
        <v>24.72</v>
      </c>
      <c r="K4" s="302">
        <v>0</v>
      </c>
      <c r="L4" s="304">
        <v>24.72</v>
      </c>
      <c r="M4" s="166"/>
      <c r="N4" s="166"/>
      <c r="P4" s="308"/>
      <c r="Q4" s="333" t="s">
        <v>12</v>
      </c>
      <c r="R4" s="333" t="s">
        <v>37</v>
      </c>
      <c r="S4" s="334" t="s">
        <v>16</v>
      </c>
      <c r="X4" s="332"/>
      <c r="Y4" s="335" t="s">
        <v>12</v>
      </c>
      <c r="Z4" s="335" t="s">
        <v>37</v>
      </c>
      <c r="AA4" s="336" t="s">
        <v>16</v>
      </c>
      <c r="AF4" s="331"/>
      <c r="AG4" s="335" t="s">
        <v>12</v>
      </c>
      <c r="AH4" s="335" t="s">
        <v>37</v>
      </c>
      <c r="AI4" s="336" t="s">
        <v>16</v>
      </c>
    </row>
    <row r="5" spans="1:65" ht="14.25" customHeight="1">
      <c r="A5" s="165"/>
      <c r="B5" s="166"/>
      <c r="C5" s="166"/>
      <c r="D5" s="166"/>
      <c r="E5" s="166"/>
      <c r="F5" s="166"/>
      <c r="G5" s="166"/>
      <c r="H5" s="213" t="s">
        <v>40</v>
      </c>
      <c r="I5" s="43"/>
      <c r="J5" s="43"/>
      <c r="K5" s="43"/>
      <c r="L5" s="306"/>
      <c r="M5" s="166"/>
      <c r="N5" s="166"/>
      <c r="P5" s="308" t="s">
        <v>39</v>
      </c>
      <c r="Q5" s="312">
        <v>29.097610156886343</v>
      </c>
      <c r="R5" s="312">
        <v>0</v>
      </c>
      <c r="S5" s="313">
        <v>29.097610156886343</v>
      </c>
      <c r="X5" s="308" t="s">
        <v>39</v>
      </c>
      <c r="Y5" s="302">
        <v>43.356502850029834</v>
      </c>
      <c r="Z5" s="302">
        <v>0.24316628787601294</v>
      </c>
      <c r="AA5" s="304">
        <v>43.599669137905842</v>
      </c>
      <c r="AF5" s="308" t="s">
        <v>39</v>
      </c>
      <c r="AG5" s="302">
        <v>29.097610156886343</v>
      </c>
      <c r="AH5" s="302">
        <v>0</v>
      </c>
      <c r="AI5" s="304">
        <v>29.097610156886343</v>
      </c>
      <c r="BM5" s="170"/>
    </row>
    <row r="6" spans="1:65" ht="14.25" customHeight="1">
      <c r="A6" s="165"/>
      <c r="B6" s="166"/>
      <c r="C6" s="166"/>
      <c r="D6" s="166"/>
      <c r="E6" s="166"/>
      <c r="F6" s="166"/>
      <c r="G6" s="166"/>
      <c r="H6" s="213" t="s">
        <v>41</v>
      </c>
      <c r="I6" s="43"/>
      <c r="J6" s="303">
        <v>9.1103899938029614E-2</v>
      </c>
      <c r="K6" s="303">
        <v>9.0841000619703988E-3</v>
      </c>
      <c r="L6" s="305">
        <v>0.100188</v>
      </c>
      <c r="M6" s="166"/>
      <c r="N6" s="166"/>
      <c r="P6" s="308" t="s">
        <v>42</v>
      </c>
      <c r="Q6" s="314">
        <v>0.60380931494179313</v>
      </c>
      <c r="R6" s="314">
        <v>1.0297157911143889E-2</v>
      </c>
      <c r="S6" s="315">
        <v>0.61410647285293707</v>
      </c>
      <c r="X6" s="308" t="s">
        <v>42</v>
      </c>
      <c r="Y6" s="303">
        <v>0</v>
      </c>
      <c r="Z6" s="303">
        <v>0</v>
      </c>
      <c r="AA6" s="305">
        <v>0</v>
      </c>
      <c r="AF6" s="308" t="s">
        <v>42</v>
      </c>
      <c r="AG6" s="303">
        <v>0</v>
      </c>
      <c r="AH6" s="303">
        <v>0</v>
      </c>
      <c r="AI6" s="305">
        <v>0</v>
      </c>
      <c r="BM6" s="170"/>
    </row>
    <row r="7" spans="1:65" ht="14.25" customHeight="1">
      <c r="A7" s="165"/>
      <c r="B7" s="166"/>
      <c r="C7" s="166"/>
      <c r="D7" s="166"/>
      <c r="E7" s="166"/>
      <c r="F7" s="166"/>
      <c r="G7" s="177"/>
      <c r="H7" s="213" t="s">
        <v>43</v>
      </c>
      <c r="I7" s="43"/>
      <c r="J7" s="303">
        <v>8.416460119668942E-2</v>
      </c>
      <c r="K7" s="303">
        <v>9.1493988033105895E-3</v>
      </c>
      <c r="L7" s="305">
        <v>9.3314000000000008E-2</v>
      </c>
      <c r="M7" s="166"/>
      <c r="N7" s="166"/>
      <c r="P7" s="308" t="s">
        <v>44</v>
      </c>
      <c r="Q7" s="314">
        <v>0</v>
      </c>
      <c r="R7" s="314">
        <v>3.918459579378311E-3</v>
      </c>
      <c r="S7" s="315">
        <v>3.918459579378311E-3</v>
      </c>
      <c r="X7" s="308" t="s">
        <v>44</v>
      </c>
      <c r="Y7" s="303">
        <v>0</v>
      </c>
      <c r="Z7" s="303">
        <v>3.918459579378311E-3</v>
      </c>
      <c r="AA7" s="305">
        <v>3.918459579378311E-3</v>
      </c>
      <c r="AF7" s="308" t="s">
        <v>44</v>
      </c>
      <c r="AG7" s="303">
        <v>7.1816978237685708E-2</v>
      </c>
      <c r="AH7" s="303">
        <v>5.1432018072883291E-3</v>
      </c>
      <c r="AI7" s="305">
        <v>7.6960180044974028E-2</v>
      </c>
      <c r="BM7" s="170"/>
    </row>
    <row r="8" spans="1:65" ht="14.25" customHeight="1">
      <c r="A8" s="165"/>
      <c r="B8" s="166"/>
      <c r="C8" s="166"/>
      <c r="D8" s="166"/>
      <c r="E8" s="166"/>
      <c r="F8" s="166"/>
      <c r="G8" s="177"/>
      <c r="H8" s="213" t="s">
        <v>45</v>
      </c>
      <c r="I8" s="43"/>
      <c r="J8" s="303">
        <v>7.8730858180777463E-2</v>
      </c>
      <c r="K8" s="303">
        <v>9.20114181922254E-3</v>
      </c>
      <c r="L8" s="305">
        <v>8.793200000000001E-2</v>
      </c>
      <c r="M8" s="166"/>
      <c r="N8" s="166"/>
      <c r="P8" s="308" t="s">
        <v>46</v>
      </c>
      <c r="Q8" s="314">
        <v>-8.6499021552362591E-4</v>
      </c>
      <c r="R8" s="314">
        <v>1.8448860866686262E-2</v>
      </c>
      <c r="S8" s="315">
        <v>1.7583870651162636E-2</v>
      </c>
      <c r="X8" s="308" t="s">
        <v>46</v>
      </c>
      <c r="Y8" s="303">
        <v>-8.6499021552362591E-4</v>
      </c>
      <c r="Z8" s="303">
        <v>1.8448860866686262E-2</v>
      </c>
      <c r="AA8" s="305">
        <v>1.7583870651162636E-2</v>
      </c>
      <c r="AF8" s="308" t="s">
        <v>46</v>
      </c>
      <c r="AG8" s="303">
        <v>-8.6499021552362591E-4</v>
      </c>
      <c r="AH8" s="303">
        <v>1.8448860866686262E-2</v>
      </c>
      <c r="AI8" s="305">
        <v>1.7583870651162636E-2</v>
      </c>
      <c r="BM8" s="168"/>
    </row>
    <row r="9" spans="1:65" ht="14.25" customHeight="1">
      <c r="A9" s="165"/>
      <c r="B9" s="166"/>
      <c r="C9" s="166"/>
      <c r="D9" s="166"/>
      <c r="E9" s="166"/>
      <c r="F9" s="166"/>
      <c r="G9" s="177"/>
      <c r="H9" s="213" t="s">
        <v>47</v>
      </c>
      <c r="I9" s="43"/>
      <c r="J9" s="303">
        <v>7.4680442400089891E-2</v>
      </c>
      <c r="K9" s="303">
        <v>9.2395575999100997E-3</v>
      </c>
      <c r="L9" s="305">
        <v>8.3919999999999995E-2</v>
      </c>
      <c r="M9" s="166"/>
      <c r="N9" s="166"/>
      <c r="P9" s="308" t="s">
        <v>48</v>
      </c>
      <c r="Q9" s="314">
        <v>1.4047670012902582E-3</v>
      </c>
      <c r="R9" s="314">
        <v>0.14261380567437265</v>
      </c>
      <c r="S9" s="315">
        <v>0.1440185726756629</v>
      </c>
      <c r="X9" s="308" t="s">
        <v>48</v>
      </c>
      <c r="Y9" s="303">
        <v>1.4047670012902582E-3</v>
      </c>
      <c r="Z9" s="303">
        <v>0.14261380567437265</v>
      </c>
      <c r="AA9" s="305">
        <v>0.1440185726756629</v>
      </c>
      <c r="AF9" s="308" t="s">
        <v>48</v>
      </c>
      <c r="AG9" s="303">
        <v>1.4047670012902582E-3</v>
      </c>
      <c r="AH9" s="303">
        <v>0.14261380567437265</v>
      </c>
      <c r="AI9" s="305">
        <v>0.1440185726756629</v>
      </c>
      <c r="BM9" s="171"/>
    </row>
    <row r="10" spans="1:65" ht="14.25" customHeight="1">
      <c r="A10" s="165"/>
      <c r="B10" s="166"/>
      <c r="C10" s="166"/>
      <c r="D10" s="166"/>
      <c r="E10" s="166"/>
      <c r="F10" s="166"/>
      <c r="G10" s="177"/>
      <c r="H10" s="213" t="s">
        <v>13</v>
      </c>
      <c r="I10" s="43"/>
      <c r="J10" s="303">
        <v>6.2427482020093097E-3</v>
      </c>
      <c r="K10" s="303">
        <v>1.043325179799069E-2</v>
      </c>
      <c r="L10" s="305">
        <v>1.6676E-2</v>
      </c>
      <c r="M10" s="166"/>
      <c r="N10" s="166"/>
      <c r="O10" s="173"/>
      <c r="P10" s="345" t="s">
        <v>49</v>
      </c>
      <c r="Q10" s="318"/>
      <c r="R10" s="318"/>
      <c r="S10" s="307"/>
      <c r="X10" s="325" t="s">
        <v>49</v>
      </c>
      <c r="Y10" s="318"/>
      <c r="Z10" s="318"/>
      <c r="AA10" s="307"/>
      <c r="AF10" s="326" t="s">
        <v>49</v>
      </c>
      <c r="AG10" s="318"/>
      <c r="AH10" s="318"/>
      <c r="AI10" s="307"/>
      <c r="BM10" s="171"/>
    </row>
    <row r="11" spans="1:65" ht="14.25" customHeight="1">
      <c r="A11" s="165"/>
      <c r="B11" s="166"/>
      <c r="C11" s="166"/>
      <c r="D11" s="166"/>
      <c r="E11" s="166"/>
      <c r="F11" s="166"/>
      <c r="G11" s="177"/>
      <c r="H11" s="213" t="s">
        <v>50</v>
      </c>
      <c r="I11" s="43"/>
      <c r="J11" s="303">
        <v>7.7291055541721225E-4</v>
      </c>
      <c r="K11" s="303">
        <v>4.8033089444582788E-2</v>
      </c>
      <c r="L11" s="305">
        <v>4.8806000000000002E-2</v>
      </c>
      <c r="M11" s="166"/>
      <c r="N11" s="166"/>
      <c r="O11" s="166"/>
      <c r="P11" s="166"/>
      <c r="Q11" s="310"/>
      <c r="R11" s="310"/>
      <c r="S11" s="310"/>
      <c r="X11" s="310"/>
      <c r="Y11" s="310"/>
      <c r="Z11" s="310"/>
      <c r="AA11" s="310"/>
      <c r="AF11" s="310"/>
      <c r="AG11" s="384"/>
      <c r="AH11" s="384"/>
      <c r="AI11" s="384"/>
      <c r="BM11" s="172"/>
    </row>
    <row r="12" spans="1:65" ht="14.25" customHeight="1">
      <c r="A12" s="165"/>
      <c r="B12" s="166"/>
      <c r="C12" s="166"/>
      <c r="D12" s="166"/>
      <c r="E12" s="166"/>
      <c r="F12" s="166"/>
      <c r="G12" s="177"/>
      <c r="H12" s="213" t="s">
        <v>51</v>
      </c>
      <c r="I12" s="43"/>
      <c r="J12" s="303"/>
      <c r="K12" s="303"/>
      <c r="L12" s="305"/>
      <c r="M12" s="166"/>
      <c r="N12" s="166"/>
      <c r="O12" s="166"/>
      <c r="P12" s="425" t="s">
        <v>52</v>
      </c>
      <c r="Q12" s="426"/>
      <c r="R12" s="426"/>
      <c r="S12" s="427"/>
      <c r="T12" s="215"/>
      <c r="X12" s="425" t="s">
        <v>52</v>
      </c>
      <c r="Y12" s="426"/>
      <c r="Z12" s="426"/>
      <c r="AA12" s="427"/>
      <c r="AF12" s="425" t="s">
        <v>52</v>
      </c>
      <c r="AG12" s="426"/>
      <c r="AH12" s="426"/>
      <c r="AI12" s="427"/>
      <c r="BM12" s="168"/>
    </row>
    <row r="13" spans="1:65" ht="14.25" customHeight="1">
      <c r="A13" s="165"/>
      <c r="B13" s="166"/>
      <c r="C13" s="166"/>
      <c r="D13" s="166"/>
      <c r="E13" s="166"/>
      <c r="F13" s="166"/>
      <c r="G13" s="177"/>
      <c r="H13" s="213" t="s">
        <v>53</v>
      </c>
      <c r="I13" s="43"/>
      <c r="J13" s="303"/>
      <c r="K13" s="303"/>
      <c r="L13" s="305"/>
      <c r="M13" s="296"/>
      <c r="N13" s="166"/>
      <c r="O13" s="166"/>
      <c r="P13" s="332"/>
      <c r="Q13" s="333" t="s">
        <v>12</v>
      </c>
      <c r="R13" s="335" t="s">
        <v>37</v>
      </c>
      <c r="S13" s="336" t="s">
        <v>16</v>
      </c>
      <c r="X13" s="332"/>
      <c r="Y13" s="333" t="s">
        <v>12</v>
      </c>
      <c r="Z13" s="333" t="s">
        <v>37</v>
      </c>
      <c r="AA13" s="336" t="s">
        <v>16</v>
      </c>
      <c r="AF13" s="331"/>
      <c r="AG13" s="335" t="s">
        <v>12</v>
      </c>
      <c r="AH13" s="335" t="s">
        <v>37</v>
      </c>
      <c r="AI13" s="336" t="s">
        <v>16</v>
      </c>
      <c r="BM13" s="168"/>
    </row>
    <row r="14" spans="1:65" ht="14.25" customHeight="1">
      <c r="A14" s="165"/>
      <c r="B14" s="166"/>
      <c r="C14" s="166"/>
      <c r="D14" s="166"/>
      <c r="E14" s="166"/>
      <c r="F14" s="166"/>
      <c r="G14" s="177"/>
      <c r="H14" s="213" t="s">
        <v>54</v>
      </c>
      <c r="I14" s="43"/>
      <c r="J14" s="303"/>
      <c r="K14" s="303"/>
      <c r="L14" s="305"/>
      <c r="M14" s="166"/>
      <c r="N14" s="166"/>
      <c r="O14" s="166"/>
      <c r="P14" s="308" t="s">
        <v>39</v>
      </c>
      <c r="Q14" s="302">
        <v>29.097610156886343</v>
      </c>
      <c r="R14" s="302">
        <v>0</v>
      </c>
      <c r="S14" s="304">
        <v>29.097610156886343</v>
      </c>
      <c r="X14" s="308" t="s">
        <v>39</v>
      </c>
      <c r="Y14" s="302">
        <v>501.89065855250084</v>
      </c>
      <c r="Z14" s="302">
        <v>7.7349531222224197</v>
      </c>
      <c r="AA14" s="304">
        <v>509.6256116747233</v>
      </c>
      <c r="AF14" s="308" t="s">
        <v>39</v>
      </c>
      <c r="AG14" s="302">
        <v>29.1</v>
      </c>
      <c r="AH14" s="302">
        <v>0</v>
      </c>
      <c r="AI14" s="304">
        <v>29.1</v>
      </c>
      <c r="BM14" s="168"/>
    </row>
    <row r="15" spans="1:65" ht="14.25" customHeight="1">
      <c r="A15" s="165"/>
      <c r="B15" s="166"/>
      <c r="C15" s="166"/>
      <c r="D15" s="166"/>
      <c r="E15" s="166"/>
      <c r="F15" s="166"/>
      <c r="G15" s="177"/>
      <c r="H15" s="213" t="s">
        <v>55</v>
      </c>
      <c r="I15" s="43"/>
      <c r="J15" s="303">
        <v>8.4355665274751248E-4</v>
      </c>
      <c r="K15" s="303">
        <v>0.10398244334725248</v>
      </c>
      <c r="L15" s="305">
        <v>0.104826</v>
      </c>
      <c r="M15" s="166"/>
      <c r="N15" s="166"/>
      <c r="O15" s="166"/>
      <c r="P15" s="308" t="s">
        <v>42</v>
      </c>
      <c r="Q15" s="303">
        <v>0.6249848683706285</v>
      </c>
      <c r="R15" s="303">
        <v>1.0224830240947344E-2</v>
      </c>
      <c r="S15" s="305">
        <v>0.63520969861157583</v>
      </c>
      <c r="X15" s="308" t="s">
        <v>42</v>
      </c>
      <c r="Y15" s="303">
        <v>0</v>
      </c>
      <c r="Z15" s="303">
        <v>0</v>
      </c>
      <c r="AA15" s="305">
        <v>0</v>
      </c>
      <c r="AF15" s="308" t="s">
        <v>42</v>
      </c>
      <c r="AG15" s="303">
        <v>0</v>
      </c>
      <c r="AH15" s="303">
        <v>0</v>
      </c>
      <c r="AI15" s="305">
        <v>0</v>
      </c>
      <c r="BM15" s="171"/>
    </row>
    <row r="16" spans="1:65" ht="14.25" customHeight="1">
      <c r="A16" s="165"/>
      <c r="B16" s="166"/>
      <c r="C16" s="166"/>
      <c r="D16" s="166"/>
      <c r="E16" s="166"/>
      <c r="F16" s="166"/>
      <c r="G16" s="177"/>
      <c r="H16" s="322" t="s">
        <v>49</v>
      </c>
      <c r="I16" s="317"/>
      <c r="J16" s="318"/>
      <c r="K16" s="318"/>
      <c r="L16" s="307"/>
      <c r="M16" s="166"/>
      <c r="N16" s="166"/>
      <c r="O16" s="166"/>
      <c r="P16" s="308" t="s">
        <v>44</v>
      </c>
      <c r="Q16" s="303">
        <v>0</v>
      </c>
      <c r="R16" s="303">
        <v>3.8691587178757546E-3</v>
      </c>
      <c r="S16" s="305">
        <v>3.8691587178757546E-3</v>
      </c>
      <c r="X16" s="308" t="s">
        <v>44</v>
      </c>
      <c r="Y16" s="303">
        <v>0</v>
      </c>
      <c r="Z16" s="303">
        <v>3.8691587178757546E-3</v>
      </c>
      <c r="AA16" s="305">
        <v>3.8691587178757546E-3</v>
      </c>
      <c r="AF16" s="308" t="s">
        <v>44</v>
      </c>
      <c r="AG16" s="303">
        <v>7.3483235816392656E-2</v>
      </c>
      <c r="AH16" s="303">
        <v>5.0713536025886255E-3</v>
      </c>
      <c r="AI16" s="305">
        <v>7.8554589418981288E-2</v>
      </c>
      <c r="BM16" s="171"/>
    </row>
    <row r="17" spans="1:65" ht="14.25" customHeight="1">
      <c r="A17" s="165"/>
      <c r="B17" s="166"/>
      <c r="C17" s="166"/>
      <c r="D17" s="166"/>
      <c r="E17" s="166"/>
      <c r="F17" s="166"/>
      <c r="G17" s="166"/>
      <c r="M17" s="166"/>
      <c r="N17" s="166"/>
      <c r="O17" s="166"/>
      <c r="P17" s="308" t="s">
        <v>46</v>
      </c>
      <c r="Q17" s="303">
        <v>-8.2032059994183301E-4</v>
      </c>
      <c r="R17" s="303">
        <v>1.6631227319793405E-2</v>
      </c>
      <c r="S17" s="305">
        <v>1.5810906719851574E-2</v>
      </c>
      <c r="W17" s="216"/>
      <c r="X17" s="308" t="s">
        <v>46</v>
      </c>
      <c r="Y17" s="303">
        <v>-8.2032059994183301E-4</v>
      </c>
      <c r="Z17" s="303">
        <v>1.6631227319793405E-2</v>
      </c>
      <c r="AA17" s="305">
        <v>1.5810906719851574E-2</v>
      </c>
      <c r="AE17" s="216"/>
      <c r="AF17" s="308" t="s">
        <v>46</v>
      </c>
      <c r="AG17" s="303">
        <v>-8.2032059994183301E-4</v>
      </c>
      <c r="AH17" s="303">
        <v>1.6631227319793405E-2</v>
      </c>
      <c r="AI17" s="305">
        <v>1.5810906719851574E-2</v>
      </c>
      <c r="BM17" s="268"/>
    </row>
    <row r="18" spans="1:65" ht="14.25" customHeight="1">
      <c r="A18" s="165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308" t="s">
        <v>48</v>
      </c>
      <c r="Q18" s="303">
        <v>1.4047670012902586E-3</v>
      </c>
      <c r="R18" s="303">
        <v>0.14261380567437262</v>
      </c>
      <c r="S18" s="305">
        <v>0.1440185726756629</v>
      </c>
      <c r="W18" s="216"/>
      <c r="X18" s="308" t="s">
        <v>48</v>
      </c>
      <c r="Y18" s="303">
        <v>1.4047670012902586E-3</v>
      </c>
      <c r="Z18" s="303">
        <v>0.14261380567437262</v>
      </c>
      <c r="AA18" s="305">
        <v>0.1440185726756629</v>
      </c>
      <c r="AE18" s="216"/>
      <c r="AF18" s="308" t="s">
        <v>48</v>
      </c>
      <c r="AG18" s="303">
        <v>1.4047670012902586E-3</v>
      </c>
      <c r="AH18" s="303">
        <v>0.14261380567437262</v>
      </c>
      <c r="AI18" s="305">
        <v>0.1440185726756629</v>
      </c>
      <c r="BM18" s="268"/>
    </row>
    <row r="19" spans="1:65" ht="14.25" customHeight="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311" t="s">
        <v>49</v>
      </c>
      <c r="Q19" s="318"/>
      <c r="R19" s="318"/>
      <c r="S19" s="307"/>
      <c r="W19" s="216"/>
      <c r="X19" s="311" t="s">
        <v>49</v>
      </c>
      <c r="Y19" s="318"/>
      <c r="Z19" s="318"/>
      <c r="AA19" s="307"/>
      <c r="AE19" s="216"/>
      <c r="AF19" s="311" t="s">
        <v>49</v>
      </c>
      <c r="AG19" s="318"/>
      <c r="AH19" s="318"/>
      <c r="AI19" s="307"/>
      <c r="BM19" s="268"/>
    </row>
    <row r="20" spans="1:65" ht="14.25" customHeight="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292"/>
      <c r="Q20" s="293"/>
      <c r="R20" s="294"/>
      <c r="S20" s="294"/>
      <c r="Y20" s="385"/>
      <c r="Z20" s="294"/>
      <c r="AA20" s="294"/>
      <c r="AG20" s="174"/>
      <c r="AH20" s="175"/>
      <c r="AI20" s="175"/>
      <c r="BM20" s="268"/>
    </row>
    <row r="21" spans="1:65" s="32" customFormat="1" ht="14.25" customHeight="1">
      <c r="A21" s="207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Q21" s="208"/>
      <c r="R21" s="209"/>
      <c r="S21" s="209"/>
      <c r="Y21" s="258"/>
      <c r="Z21" s="209"/>
      <c r="AA21" s="209"/>
      <c r="AG21" s="208"/>
      <c r="AH21" s="209"/>
      <c r="AI21" s="209"/>
      <c r="BM21" s="210"/>
    </row>
    <row r="22" spans="1:65" ht="14.25" customHeight="1" thickBot="1">
      <c r="F22" s="61"/>
      <c r="G22" s="206"/>
      <c r="H22" s="428" t="s">
        <v>33</v>
      </c>
      <c r="I22" s="428"/>
      <c r="J22" s="428"/>
      <c r="K22" s="428"/>
      <c r="L22" s="428"/>
      <c r="M22" s="428"/>
      <c r="N22" s="57"/>
      <c r="O22" s="428" t="s">
        <v>56</v>
      </c>
      <c r="P22" s="428"/>
      <c r="Q22" s="428"/>
      <c r="R22" s="428"/>
      <c r="S22" s="428"/>
      <c r="T22" s="428"/>
      <c r="U22" s="428"/>
      <c r="V22" s="57"/>
      <c r="W22" s="428" t="s">
        <v>57</v>
      </c>
      <c r="X22" s="428"/>
      <c r="Y22" s="428"/>
      <c r="Z22" s="428"/>
      <c r="AA22" s="428"/>
      <c r="AB22" s="428"/>
      <c r="AC22" s="428"/>
      <c r="AD22" s="57"/>
      <c r="AE22" s="428" t="s">
        <v>58</v>
      </c>
      <c r="AF22" s="428"/>
      <c r="AG22" s="428"/>
      <c r="AH22" s="428"/>
      <c r="AI22" s="428"/>
      <c r="AJ22" s="428"/>
      <c r="AK22" s="428"/>
      <c r="AM22" s="417"/>
      <c r="AN22" s="417"/>
      <c r="AO22" s="417"/>
    </row>
    <row r="23" spans="1:65" ht="14.25" customHeight="1" thickTop="1" thickBot="1">
      <c r="O23" s="150"/>
      <c r="P23" s="150"/>
      <c r="Q23" s="150"/>
      <c r="R23" s="150"/>
      <c r="AM23" s="196"/>
      <c r="AN23" s="196"/>
      <c r="AO23" s="196"/>
    </row>
    <row r="24" spans="1:65" ht="14.25" customHeight="1" thickTop="1" thickBot="1">
      <c r="A24" s="74"/>
      <c r="C24" s="75"/>
      <c r="D24" s="23"/>
      <c r="E24" s="23"/>
      <c r="F24" s="23"/>
      <c r="G24" s="23"/>
      <c r="H24" s="23"/>
      <c r="I24" s="23"/>
      <c r="J24" s="52" t="s">
        <v>59</v>
      </c>
      <c r="K24" s="52" t="s">
        <v>60</v>
      </c>
      <c r="L24" s="51" t="s">
        <v>61</v>
      </c>
      <c r="M24" s="52" t="s">
        <v>62</v>
      </c>
      <c r="N24" s="23"/>
      <c r="O24" s="153"/>
      <c r="P24" s="23"/>
      <c r="Q24" s="23"/>
      <c r="R24" s="52" t="s">
        <v>59</v>
      </c>
      <c r="S24" s="52" t="s">
        <v>60</v>
      </c>
      <c r="T24" s="51" t="s">
        <v>61</v>
      </c>
      <c r="U24" s="52" t="s">
        <v>62</v>
      </c>
      <c r="V24" s="52"/>
      <c r="W24" s="52"/>
      <c r="X24" s="52"/>
      <c r="Y24" s="52"/>
      <c r="Z24" s="52" t="s">
        <v>59</v>
      </c>
      <c r="AA24" s="52" t="s">
        <v>60</v>
      </c>
      <c r="AB24" s="52" t="s">
        <v>61</v>
      </c>
      <c r="AC24" s="52" t="s">
        <v>62</v>
      </c>
      <c r="AD24" s="52"/>
      <c r="AE24" s="52"/>
      <c r="AF24" s="52"/>
      <c r="AG24" s="52"/>
      <c r="AH24" s="52" t="s">
        <v>59</v>
      </c>
      <c r="AI24" s="52" t="s">
        <v>60</v>
      </c>
      <c r="AJ24" s="52" t="s">
        <v>61</v>
      </c>
      <c r="AK24" s="52" t="s">
        <v>62</v>
      </c>
      <c r="AL24" s="52"/>
      <c r="AM24" s="347"/>
      <c r="AN24" s="53"/>
      <c r="AO24" s="53"/>
    </row>
    <row r="25" spans="1:65" ht="14.25" customHeight="1" thickBot="1">
      <c r="A25" s="70" t="s">
        <v>63</v>
      </c>
      <c r="B25" s="66" t="s">
        <v>8</v>
      </c>
      <c r="C25" s="25"/>
      <c r="D25" s="76">
        <v>5048</v>
      </c>
      <c r="E25" s="77"/>
      <c r="F25" s="77"/>
      <c r="G25" s="77"/>
      <c r="H25" s="70"/>
      <c r="I25" s="66"/>
      <c r="J25" s="77"/>
      <c r="K25" s="77"/>
      <c r="L25" s="77"/>
      <c r="M25" s="77"/>
      <c r="N25" s="77"/>
      <c r="P25" s="70"/>
      <c r="X25" s="150"/>
      <c r="AF25" s="150"/>
    </row>
    <row r="26" spans="1:65" ht="14.25" customHeight="1" thickBot="1">
      <c r="A26" s="67" t="s">
        <v>64</v>
      </c>
      <c r="D26" s="78">
        <f>(D25/365)/'Load Factor'!$B$14</f>
        <v>51.242852368243646</v>
      </c>
      <c r="E26" s="79"/>
      <c r="G26" s="79"/>
      <c r="H26" s="67"/>
      <c r="I26" s="66"/>
      <c r="J26" s="79"/>
      <c r="K26" s="79"/>
      <c r="L26" s="79"/>
      <c r="M26" s="79"/>
      <c r="P26" s="67"/>
      <c r="X26" s="150"/>
      <c r="AF26" s="150"/>
    </row>
    <row r="27" spans="1:65" ht="14.25" customHeight="1">
      <c r="A27" s="161" t="s">
        <v>41</v>
      </c>
      <c r="B27" s="162">
        <v>360</v>
      </c>
      <c r="C27" s="27"/>
      <c r="D27" s="27"/>
      <c r="E27" s="27"/>
      <c r="F27" s="27"/>
      <c r="G27" s="27"/>
      <c r="H27" s="26" t="s">
        <v>65</v>
      </c>
      <c r="I27" s="66" t="s">
        <v>11</v>
      </c>
      <c r="J27" s="27">
        <f>$J$4</f>
        <v>24.72</v>
      </c>
      <c r="K27" s="27">
        <f>J27*12</f>
        <v>296.64</v>
      </c>
      <c r="L27" s="27">
        <f>$K$4*12</f>
        <v>0</v>
      </c>
      <c r="M27" s="27">
        <f>SUM(K27:L27)</f>
        <v>296.64</v>
      </c>
      <c r="N27" s="27"/>
      <c r="P27" s="26" t="s">
        <v>66</v>
      </c>
      <c r="R27" s="178">
        <f>$Q$5</f>
        <v>29.097610156886343</v>
      </c>
      <c r="S27" s="178">
        <f>R27*12</f>
        <v>349.17132188263611</v>
      </c>
      <c r="T27" s="178">
        <f>$R$5*12</f>
        <v>0</v>
      </c>
      <c r="U27" s="178">
        <f>SUM(S27:T27)</f>
        <v>349.17132188263611</v>
      </c>
      <c r="V27" s="178"/>
      <c r="W27" s="178"/>
      <c r="X27" s="178" t="s">
        <v>66</v>
      </c>
      <c r="Y27" s="178"/>
      <c r="Z27" s="178"/>
      <c r="AA27" s="178">
        <f>$Y$5*12</f>
        <v>520.27803420035798</v>
      </c>
      <c r="AB27" s="178">
        <f>$Z$5*12</f>
        <v>2.9179954545121554</v>
      </c>
      <c r="AC27" s="148">
        <f>SUM(AA27:AB27)</f>
        <v>523.19602965487013</v>
      </c>
      <c r="AD27" s="148"/>
      <c r="AE27" s="148"/>
      <c r="AF27" s="178" t="s">
        <v>66</v>
      </c>
      <c r="AG27" s="178"/>
      <c r="AH27" s="178">
        <f>$AG$5</f>
        <v>29.097610156886343</v>
      </c>
      <c r="AI27" s="178">
        <f>AH27*12</f>
        <v>349.17132188263611</v>
      </c>
      <c r="AJ27" s="178">
        <f>$AH$5*12</f>
        <v>0</v>
      </c>
      <c r="AK27" s="148">
        <f>SUM(AI27:AJ27)</f>
        <v>349.17132188263611</v>
      </c>
      <c r="AL27" s="148"/>
    </row>
    <row r="28" spans="1:65" ht="14.25" customHeight="1">
      <c r="A28" s="161" t="s">
        <v>43</v>
      </c>
      <c r="B28" s="162">
        <v>660</v>
      </c>
      <c r="C28" s="27"/>
      <c r="D28" s="27"/>
      <c r="E28" s="27"/>
      <c r="F28" s="27"/>
      <c r="G28" s="27"/>
      <c r="H28" s="26"/>
      <c r="I28" s="66"/>
      <c r="J28" s="27"/>
      <c r="K28" s="27"/>
      <c r="L28" s="27"/>
      <c r="M28" s="27"/>
      <c r="N28" s="27"/>
      <c r="P28" s="26" t="s">
        <v>67</v>
      </c>
      <c r="R28" s="178"/>
      <c r="S28" s="178">
        <f>$Q$6*D26*12</f>
        <v>371.29093900959168</v>
      </c>
      <c r="T28" s="178">
        <f>$R$6*D26*12</f>
        <v>6.3318689118388614</v>
      </c>
      <c r="U28" s="178">
        <f>SUM(S28:T28)</f>
        <v>377.62280792143054</v>
      </c>
      <c r="V28" s="178"/>
      <c r="W28" s="178"/>
      <c r="X28" s="178"/>
      <c r="Y28" s="178"/>
      <c r="Z28" s="178"/>
      <c r="AA28" s="178"/>
      <c r="AB28" s="178"/>
      <c r="AC28" s="148"/>
      <c r="AD28" s="148"/>
      <c r="AE28" s="148"/>
      <c r="AF28" s="178"/>
      <c r="AG28" s="178"/>
      <c r="AH28" s="178"/>
      <c r="AI28" s="178"/>
      <c r="AJ28" s="178"/>
      <c r="AK28" s="148"/>
      <c r="AL28" s="148"/>
    </row>
    <row r="29" spans="1:65" ht="14.25" customHeight="1">
      <c r="A29" s="161" t="s">
        <v>45</v>
      </c>
      <c r="B29" s="162">
        <v>1020</v>
      </c>
      <c r="C29" s="27"/>
      <c r="D29" s="27"/>
      <c r="E29" s="27"/>
      <c r="F29" s="27"/>
      <c r="G29" s="27"/>
      <c r="H29" s="26" t="s">
        <v>68</v>
      </c>
      <c r="I29" s="66" t="s">
        <v>11</v>
      </c>
      <c r="J29" s="27"/>
      <c r="K29" s="27">
        <f>SUMPRODUCT($J$6:$J$9,B27:B30)</f>
        <v>393.2902868513691</v>
      </c>
      <c r="L29" s="27">
        <f>SUMPRODUCT($K$6:$K$9,B27:B30)</f>
        <v>46.486633148630901</v>
      </c>
      <c r="M29" s="27">
        <f>SUM(K29:L29)</f>
        <v>439.77692000000002</v>
      </c>
      <c r="N29" s="27"/>
      <c r="P29" s="26" t="s">
        <v>69</v>
      </c>
      <c r="R29" s="178"/>
      <c r="S29" s="178">
        <f>$Q$7*D25</f>
        <v>0</v>
      </c>
      <c r="T29" s="178">
        <f>$R$7*D25</f>
        <v>19.780383956701712</v>
      </c>
      <c r="U29" s="178">
        <f>SUM(S29+T29)</f>
        <v>19.780383956701712</v>
      </c>
      <c r="V29" s="178"/>
      <c r="W29" s="178"/>
      <c r="X29" s="178" t="s">
        <v>69</v>
      </c>
      <c r="Y29" s="178"/>
      <c r="Z29" s="178"/>
      <c r="AA29" s="178">
        <f>$Y$7*D25</f>
        <v>0</v>
      </c>
      <c r="AB29" s="178">
        <f>$Z$7*D25</f>
        <v>19.780383956701712</v>
      </c>
      <c r="AC29" s="148">
        <f>SUM(AA29:AB29)</f>
        <v>19.780383956701712</v>
      </c>
      <c r="AD29" s="148"/>
      <c r="AE29" s="148"/>
      <c r="AF29" s="178" t="s">
        <v>69</v>
      </c>
      <c r="AG29" s="178"/>
      <c r="AH29" s="178"/>
      <c r="AI29" s="178">
        <f>$AG$7*D25</f>
        <v>362.53210614383744</v>
      </c>
      <c r="AJ29" s="178">
        <f>$AH$7*D25</f>
        <v>25.962882723191484</v>
      </c>
      <c r="AK29" s="148">
        <f>SUM(AI29:AJ29)</f>
        <v>388.49498886702895</v>
      </c>
      <c r="AL29" s="148"/>
    </row>
    <row r="30" spans="1:65" ht="14.25" customHeight="1">
      <c r="A30" s="161" t="s">
        <v>47</v>
      </c>
      <c r="B30" s="163">
        <v>3008</v>
      </c>
      <c r="C30" s="27"/>
      <c r="D30" s="27"/>
      <c r="E30" s="27"/>
      <c r="F30" s="27"/>
      <c r="G30" s="27"/>
      <c r="H30" s="26" t="s">
        <v>70</v>
      </c>
      <c r="I30" s="66" t="s">
        <v>11</v>
      </c>
      <c r="J30" s="27"/>
      <c r="K30" s="27">
        <f>$J$10*D25</f>
        <v>31.513392923742995</v>
      </c>
      <c r="L30" s="27">
        <f>$K$10*D25</f>
        <v>52.667055076257007</v>
      </c>
      <c r="M30" s="27">
        <f>SUM(K30:L30)</f>
        <v>84.180447999999998</v>
      </c>
      <c r="N30" s="27"/>
      <c r="P30" s="26"/>
      <c r="R30" s="62"/>
      <c r="S30" s="62"/>
      <c r="T30" s="62"/>
      <c r="U30" s="178"/>
      <c r="V30" s="178"/>
      <c r="W30" s="178"/>
      <c r="X30" s="178"/>
      <c r="Y30" s="178"/>
      <c r="Z30" s="178"/>
      <c r="AA30" s="178"/>
      <c r="AB30" s="178"/>
      <c r="AC30" s="148"/>
      <c r="AD30" s="148"/>
      <c r="AE30" s="148"/>
      <c r="AF30" s="178"/>
      <c r="AG30" s="178"/>
      <c r="AH30" s="178"/>
      <c r="AI30" s="178"/>
      <c r="AJ30" s="178"/>
      <c r="AK30" s="148"/>
      <c r="AL30" s="148"/>
    </row>
    <row r="31" spans="1:65" ht="14.25" customHeight="1">
      <c r="A31" s="26"/>
      <c r="C31" s="27"/>
      <c r="D31" s="27"/>
      <c r="E31" s="27"/>
      <c r="F31" s="27"/>
      <c r="G31" s="27"/>
      <c r="H31" s="26" t="s">
        <v>71</v>
      </c>
      <c r="I31" s="66" t="s">
        <v>11</v>
      </c>
      <c r="J31" s="27"/>
      <c r="K31" s="27">
        <f>$J$11*D25</f>
        <v>3.9016524837460875</v>
      </c>
      <c r="L31" s="27">
        <f>$K$11*D25</f>
        <v>242.47103551625392</v>
      </c>
      <c r="M31" s="27">
        <f>SUM(K31:L31)</f>
        <v>246.37268800000001</v>
      </c>
      <c r="N31" s="27"/>
      <c r="P31" s="26" t="s">
        <v>71</v>
      </c>
      <c r="R31" s="178"/>
      <c r="S31" s="178">
        <f>$Q$8*D25</f>
        <v>-4.3664706079632634</v>
      </c>
      <c r="T31" s="178">
        <f>$R$8*D25</f>
        <v>93.129849655032245</v>
      </c>
      <c r="U31" s="178">
        <f>SUM(S31:T31)</f>
        <v>88.76337904706898</v>
      </c>
      <c r="V31" s="178"/>
      <c r="W31" s="178"/>
      <c r="X31" s="178" t="s">
        <v>71</v>
      </c>
      <c r="Y31" s="178"/>
      <c r="Z31" s="178"/>
      <c r="AA31" s="178">
        <f>$Y$8*D25</f>
        <v>-4.3664706079632634</v>
      </c>
      <c r="AB31" s="178">
        <f>$Z$8*D25</f>
        <v>93.129849655032245</v>
      </c>
      <c r="AC31" s="148">
        <f>SUM(AA31:AB31)</f>
        <v>88.76337904706898</v>
      </c>
      <c r="AD31" s="148"/>
      <c r="AE31" s="148"/>
      <c r="AF31" s="178" t="s">
        <v>71</v>
      </c>
      <c r="AG31" s="178"/>
      <c r="AH31" s="178"/>
      <c r="AI31" s="178">
        <f>$AG$8*D25</f>
        <v>-4.3664706079632634</v>
      </c>
      <c r="AJ31" s="178">
        <f>$AH$8*D25</f>
        <v>93.129849655032245</v>
      </c>
      <c r="AK31" s="148">
        <f>SUM(AI31:AJ31)</f>
        <v>88.76337904706898</v>
      </c>
      <c r="AL31" s="148"/>
    </row>
    <row r="32" spans="1:65" ht="14.25" customHeight="1">
      <c r="A32" s="26"/>
      <c r="C32" s="27"/>
      <c r="D32" s="33"/>
      <c r="E32" s="27"/>
      <c r="F32" s="27"/>
      <c r="G32" s="27"/>
      <c r="H32" s="26" t="s">
        <v>72</v>
      </c>
      <c r="I32" s="66" t="s">
        <v>11</v>
      </c>
      <c r="J32" s="27"/>
      <c r="K32" s="27">
        <f>$J$15*D25</f>
        <v>4.2582739830694427</v>
      </c>
      <c r="L32" s="27">
        <f>$K$15*D25</f>
        <v>524.90337401693057</v>
      </c>
      <c r="M32" s="27">
        <f>SUM(K32:L32)</f>
        <v>529.16164800000001</v>
      </c>
      <c r="N32" s="27"/>
      <c r="P32" s="26" t="s">
        <v>73</v>
      </c>
      <c r="R32" s="253"/>
      <c r="S32" s="253">
        <f>$Q$9*D25</f>
        <v>7.0912638225132234</v>
      </c>
      <c r="T32" s="253">
        <f>$R$9*D25</f>
        <v>719.91449104423316</v>
      </c>
      <c r="U32" s="253">
        <f>SUM(S32:T32)</f>
        <v>727.00575486674643</v>
      </c>
      <c r="V32" s="253"/>
      <c r="W32" s="253"/>
      <c r="X32" s="253" t="s">
        <v>73</v>
      </c>
      <c r="Y32" s="253"/>
      <c r="Z32" s="253"/>
      <c r="AA32" s="253">
        <f>$Y$9*D25</f>
        <v>7.0912638225132234</v>
      </c>
      <c r="AB32" s="253">
        <f>$Z$9*D25</f>
        <v>719.91449104423316</v>
      </c>
      <c r="AC32" s="154">
        <f>SUM(AA32:AB32)</f>
        <v>727.00575486674643</v>
      </c>
      <c r="AD32" s="154"/>
      <c r="AE32" s="154"/>
      <c r="AF32" s="253" t="s">
        <v>73</v>
      </c>
      <c r="AG32" s="253"/>
      <c r="AH32" s="253"/>
      <c r="AI32" s="253">
        <f>$AG$9*D25</f>
        <v>7.0912638225132234</v>
      </c>
      <c r="AJ32" s="253">
        <f>$AH$9*D25</f>
        <v>719.91449104423316</v>
      </c>
      <c r="AK32" s="154">
        <f>SUM(AI32:AJ32)</f>
        <v>727.00575486674643</v>
      </c>
      <c r="AL32" s="154"/>
    </row>
    <row r="33" spans="1:41" ht="14.25" customHeight="1">
      <c r="A33" s="29"/>
      <c r="C33" s="27"/>
      <c r="D33" s="80"/>
      <c r="E33" s="80"/>
      <c r="F33" s="80"/>
      <c r="G33" s="80"/>
      <c r="H33" s="29" t="s">
        <v>74</v>
      </c>
      <c r="I33" s="66" t="s">
        <v>11</v>
      </c>
      <c r="J33" s="80"/>
      <c r="K33" s="80">
        <f>SUM(K27:K32)</f>
        <v>729.60360624192765</v>
      </c>
      <c r="L33" s="80">
        <f>SUM(L27:L32)</f>
        <v>866.52809775807236</v>
      </c>
      <c r="M33" s="80">
        <f>SUM(M27:M32)</f>
        <v>1596.1317039999999</v>
      </c>
      <c r="N33" s="80"/>
      <c r="O33" s="150"/>
      <c r="P33" s="29" t="s">
        <v>74</v>
      </c>
      <c r="R33" s="149"/>
      <c r="S33" s="80">
        <f>SUM(S27:S32)</f>
        <v>723.18705410677774</v>
      </c>
      <c r="T33" s="149">
        <f>SUM(T27:T32)</f>
        <v>839.156593567806</v>
      </c>
      <c r="U33" s="149">
        <f>SUM(U27:U32)</f>
        <v>1562.3436476745837</v>
      </c>
      <c r="V33" s="149"/>
      <c r="W33" s="149"/>
      <c r="X33" s="29" t="s">
        <v>74</v>
      </c>
      <c r="Y33" s="149"/>
      <c r="Z33" s="149"/>
      <c r="AA33" s="149">
        <f>SUM(AA27:AA32)</f>
        <v>523.00282741490798</v>
      </c>
      <c r="AB33" s="149">
        <f>SUM(AB27:AB32)</f>
        <v>835.74272011047924</v>
      </c>
      <c r="AC33" s="149">
        <f>SUM(AC27:AC32)</f>
        <v>1358.7455475253873</v>
      </c>
      <c r="AD33" s="149"/>
      <c r="AE33" s="149"/>
      <c r="AF33" s="29" t="s">
        <v>74</v>
      </c>
      <c r="AG33" s="149"/>
      <c r="AH33" s="149"/>
      <c r="AI33" s="149">
        <f>SUM(AI27:AI32)</f>
        <v>714.42822124102361</v>
      </c>
      <c r="AJ33" s="149">
        <f>SUM(AJ27:AJ32)</f>
        <v>839.00722342245695</v>
      </c>
      <c r="AK33" s="149">
        <f>SUM(AK27:AK32)</f>
        <v>1553.4354446634804</v>
      </c>
      <c r="AL33" s="149"/>
    </row>
    <row r="34" spans="1:41" ht="14.25" customHeight="1">
      <c r="A34" s="26"/>
      <c r="C34" s="27"/>
      <c r="D34" s="33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41" s="32" customFormat="1" ht="14.25" customHeight="1">
      <c r="A35" s="31"/>
      <c r="B35" s="81"/>
      <c r="C35" s="33"/>
      <c r="D35" s="64"/>
      <c r="E35" s="64"/>
      <c r="F35" s="64"/>
      <c r="G35" s="64"/>
      <c r="H35" s="64" t="s">
        <v>24</v>
      </c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 t="s">
        <v>75</v>
      </c>
      <c r="T35" s="64"/>
      <c r="U35" s="151">
        <f>U33/M33</f>
        <v>0.9788312855131307</v>
      </c>
      <c r="V35" s="151"/>
      <c r="W35" s="151"/>
      <c r="X35" s="257"/>
      <c r="Y35" s="151"/>
      <c r="Z35" s="151"/>
      <c r="AA35" s="151" t="s">
        <v>75</v>
      </c>
      <c r="AB35" s="151"/>
      <c r="AC35" s="151">
        <f>AC33/M33</f>
        <v>0.85127407977693259</v>
      </c>
      <c r="AD35" s="151"/>
      <c r="AE35" s="151"/>
      <c r="AF35" s="257"/>
      <c r="AG35" s="151"/>
      <c r="AH35" s="151"/>
      <c r="AI35" s="151" t="s">
        <v>75</v>
      </c>
      <c r="AJ35" s="151"/>
      <c r="AK35" s="151">
        <f>AK33/M33</f>
        <v>0.97325016524042463</v>
      </c>
      <c r="AL35" s="151"/>
    </row>
    <row r="36" spans="1:41" ht="14.25" customHeight="1">
      <c r="O36" s="152"/>
      <c r="P36" s="152"/>
      <c r="Q36" s="152"/>
      <c r="R36" s="152"/>
      <c r="AM36" s="417"/>
      <c r="AN36" s="417"/>
      <c r="AO36" s="417"/>
    </row>
    <row r="37" spans="1:41" ht="14.25" customHeight="1" thickBot="1">
      <c r="O37" s="150"/>
      <c r="P37" s="150"/>
      <c r="Q37" s="150"/>
      <c r="R37" s="150"/>
      <c r="AM37" s="196"/>
      <c r="AN37" s="196"/>
      <c r="AO37" s="196"/>
    </row>
    <row r="38" spans="1:41" ht="14.25" customHeight="1" thickTop="1" thickBot="1">
      <c r="A38" s="74"/>
      <c r="C38" s="75"/>
      <c r="D38" s="23"/>
      <c r="E38" s="23"/>
      <c r="G38" s="23"/>
      <c r="H38" s="23"/>
      <c r="I38" s="23"/>
      <c r="J38" s="52" t="s">
        <v>59</v>
      </c>
      <c r="K38" s="52" t="s">
        <v>60</v>
      </c>
      <c r="L38" s="51" t="s">
        <v>61</v>
      </c>
      <c r="M38" s="52" t="s">
        <v>62</v>
      </c>
      <c r="O38" s="153"/>
      <c r="P38" s="23"/>
      <c r="Q38" s="23"/>
      <c r="R38" s="52" t="s">
        <v>59</v>
      </c>
      <c r="S38" s="52" t="s">
        <v>60</v>
      </c>
      <c r="T38" s="51" t="s">
        <v>61</v>
      </c>
      <c r="U38" s="52" t="s">
        <v>62</v>
      </c>
      <c r="V38" s="52"/>
      <c r="W38" s="52"/>
      <c r="X38" s="52"/>
      <c r="Y38" s="52"/>
      <c r="Z38" s="52" t="s">
        <v>59</v>
      </c>
      <c r="AA38" s="52" t="s">
        <v>60</v>
      </c>
      <c r="AB38" s="52" t="s">
        <v>61</v>
      </c>
      <c r="AC38" s="52" t="s">
        <v>62</v>
      </c>
      <c r="AD38" s="52"/>
      <c r="AE38" s="52"/>
      <c r="AF38" s="52"/>
      <c r="AG38" s="52"/>
      <c r="AH38" s="52" t="s">
        <v>59</v>
      </c>
      <c r="AI38" s="52" t="s">
        <v>60</v>
      </c>
      <c r="AJ38" s="52" t="s">
        <v>61</v>
      </c>
      <c r="AK38" s="52" t="s">
        <v>62</v>
      </c>
      <c r="AL38" s="52"/>
      <c r="AM38" s="347"/>
      <c r="AN38" s="53"/>
      <c r="AO38" s="53"/>
    </row>
    <row r="39" spans="1:41" ht="14.25" customHeight="1" thickBot="1">
      <c r="A39" s="70" t="s">
        <v>63</v>
      </c>
      <c r="B39" s="66" t="s">
        <v>8</v>
      </c>
      <c r="C39" s="25"/>
      <c r="D39" s="76">
        <v>1081</v>
      </c>
      <c r="E39" s="77"/>
      <c r="G39" s="77"/>
      <c r="H39" s="70"/>
      <c r="I39" s="66"/>
      <c r="J39" s="77"/>
      <c r="K39" s="77"/>
      <c r="L39" s="77"/>
      <c r="M39" s="77"/>
      <c r="P39" s="70"/>
      <c r="X39" s="150"/>
      <c r="AF39" s="150"/>
    </row>
    <row r="40" spans="1:41" ht="14.25" customHeight="1" thickBot="1">
      <c r="A40" s="67" t="s">
        <v>64</v>
      </c>
      <c r="D40" s="78">
        <f>(D39/365)/'Load Factor'!$B$14</f>
        <v>10.973360421963427</v>
      </c>
      <c r="E40" s="79"/>
      <c r="G40" s="79"/>
      <c r="H40" s="67"/>
      <c r="I40" s="66"/>
      <c r="J40" s="79"/>
      <c r="K40" s="79"/>
      <c r="L40" s="79"/>
      <c r="M40" s="79"/>
      <c r="P40" s="67"/>
      <c r="X40" s="150"/>
      <c r="AF40" s="150"/>
    </row>
    <row r="41" spans="1:41" ht="14.25" customHeight="1">
      <c r="A41" s="161" t="s">
        <v>41</v>
      </c>
      <c r="B41" s="162">
        <v>360</v>
      </c>
      <c r="C41" s="27"/>
      <c r="D41" s="27"/>
      <c r="E41" s="27"/>
      <c r="G41" s="27"/>
      <c r="H41" s="26" t="s">
        <v>65</v>
      </c>
      <c r="I41" s="66" t="s">
        <v>11</v>
      </c>
      <c r="J41" s="27">
        <f>$J$4</f>
        <v>24.72</v>
      </c>
      <c r="K41" s="27">
        <f>J41*12</f>
        <v>296.64</v>
      </c>
      <c r="L41" s="27">
        <f>$K$4*12</f>
        <v>0</v>
      </c>
      <c r="M41" s="27">
        <f>SUM(K41:L41)</f>
        <v>296.64</v>
      </c>
      <c r="P41" s="26" t="s">
        <v>66</v>
      </c>
      <c r="R41" s="178">
        <f>$Q$5</f>
        <v>29.097610156886343</v>
      </c>
      <c r="S41" s="178">
        <f>R41*12</f>
        <v>349.17132188263611</v>
      </c>
      <c r="T41" s="178">
        <f>$R$5*12</f>
        <v>0</v>
      </c>
      <c r="U41" s="178">
        <f>SUM(S41:T41)</f>
        <v>349.17132188263611</v>
      </c>
      <c r="V41" s="178"/>
      <c r="W41" s="178"/>
      <c r="X41" s="178" t="s">
        <v>66</v>
      </c>
      <c r="Y41" s="178"/>
      <c r="Z41" s="178"/>
      <c r="AA41" s="178">
        <f>$Y$5*12</f>
        <v>520.27803420035798</v>
      </c>
      <c r="AB41" s="178">
        <f>$Z$5*12</f>
        <v>2.9179954545121554</v>
      </c>
      <c r="AC41" s="148">
        <f>SUM(AA41:AB41)</f>
        <v>523.19602965487013</v>
      </c>
      <c r="AD41" s="148"/>
      <c r="AE41" s="148"/>
      <c r="AF41" s="178" t="s">
        <v>66</v>
      </c>
      <c r="AG41" s="178"/>
      <c r="AH41" s="178">
        <f>$AG$5</f>
        <v>29.097610156886343</v>
      </c>
      <c r="AI41" s="178">
        <f>AH41*12</f>
        <v>349.17132188263611</v>
      </c>
      <c r="AJ41" s="178">
        <f>$AH$5*12</f>
        <v>0</v>
      </c>
      <c r="AK41" s="148">
        <f>SUM(AI41:AJ41)</f>
        <v>349.17132188263611</v>
      </c>
      <c r="AL41" s="148"/>
    </row>
    <row r="42" spans="1:41" ht="14.25" customHeight="1">
      <c r="A42" s="161" t="s">
        <v>43</v>
      </c>
      <c r="B42" s="162">
        <v>626</v>
      </c>
      <c r="C42" s="27"/>
      <c r="D42" s="27"/>
      <c r="E42" s="27"/>
      <c r="G42" s="27"/>
      <c r="H42" s="26"/>
      <c r="I42" s="66"/>
      <c r="J42" s="27"/>
      <c r="K42" s="27"/>
      <c r="L42" s="27"/>
      <c r="M42" s="27"/>
      <c r="P42" s="26" t="s">
        <v>67</v>
      </c>
      <c r="R42" s="178"/>
      <c r="S42" s="178">
        <f>$Q$6*D40*12</f>
        <v>79.509806867941478</v>
      </c>
      <c r="T42" s="178">
        <f>$R$6*D40*12</f>
        <v>1.3559331009702473</v>
      </c>
      <c r="U42" s="178">
        <f>SUM(S42:T42)</f>
        <v>80.865739968911726</v>
      </c>
      <c r="V42" s="178"/>
      <c r="W42" s="178"/>
      <c r="X42" s="178"/>
      <c r="Y42" s="178"/>
      <c r="Z42" s="178"/>
      <c r="AA42" s="178"/>
      <c r="AB42" s="178"/>
      <c r="AC42" s="148"/>
      <c r="AD42" s="148"/>
      <c r="AE42" s="148"/>
      <c r="AF42" s="178"/>
      <c r="AG42" s="178"/>
      <c r="AH42" s="178"/>
      <c r="AI42" s="178"/>
      <c r="AJ42" s="178"/>
      <c r="AK42" s="148"/>
      <c r="AL42" s="148"/>
    </row>
    <row r="43" spans="1:41" ht="14.25" customHeight="1">
      <c r="A43" s="161" t="s">
        <v>45</v>
      </c>
      <c r="B43" s="162">
        <v>95</v>
      </c>
      <c r="C43" s="27"/>
      <c r="D43" s="27"/>
      <c r="E43" s="27"/>
      <c r="G43" s="27"/>
      <c r="H43" s="26" t="s">
        <v>68</v>
      </c>
      <c r="I43" s="66" t="s">
        <v>11</v>
      </c>
      <c r="J43" s="27"/>
      <c r="K43" s="27">
        <f>SUMPRODUCT($J$6:$J$9,B41:B44)</f>
        <v>92.963875853992107</v>
      </c>
      <c r="L43" s="27">
        <f>SUMPRODUCT($K$6:$K$9,B41:B44)</f>
        <v>9.8719081460079146</v>
      </c>
      <c r="M43" s="27">
        <f>SUM(K43:L43)</f>
        <v>102.83578400000002</v>
      </c>
      <c r="P43" s="26" t="s">
        <v>69</v>
      </c>
      <c r="R43" s="178"/>
      <c r="S43" s="178">
        <f>$Q$7*D39</f>
        <v>0</v>
      </c>
      <c r="T43" s="178">
        <f>$R$7*D39</f>
        <v>4.2358548053079543</v>
      </c>
      <c r="U43" s="178">
        <f>SUM(S43+T43)</f>
        <v>4.2358548053079543</v>
      </c>
      <c r="V43" s="178"/>
      <c r="W43" s="178"/>
      <c r="X43" s="178" t="s">
        <v>69</v>
      </c>
      <c r="Y43" s="178"/>
      <c r="Z43" s="178"/>
      <c r="AA43" s="178">
        <f>$Y$7*D39</f>
        <v>0</v>
      </c>
      <c r="AB43" s="178">
        <f>$Z$7*D39</f>
        <v>4.2358548053079543</v>
      </c>
      <c r="AC43" s="148">
        <f>SUM(AA43:AB43)</f>
        <v>4.2358548053079543</v>
      </c>
      <c r="AD43" s="148"/>
      <c r="AE43" s="148"/>
      <c r="AF43" s="178" t="s">
        <v>69</v>
      </c>
      <c r="AG43" s="178"/>
      <c r="AH43" s="178"/>
      <c r="AI43" s="178">
        <f>$AG$7*D39</f>
        <v>77.634153474938245</v>
      </c>
      <c r="AJ43" s="178">
        <f>$AH$7*D39</f>
        <v>5.5598011536786833</v>
      </c>
      <c r="AK43" s="148">
        <f>SUM(AI43:AJ43)</f>
        <v>83.193954628616922</v>
      </c>
      <c r="AL43" s="148"/>
    </row>
    <row r="44" spans="1:41" ht="14.25" customHeight="1">
      <c r="A44" s="161" t="s">
        <v>47</v>
      </c>
      <c r="B44" s="163">
        <v>0</v>
      </c>
      <c r="C44" s="27"/>
      <c r="D44" s="27"/>
      <c r="E44" s="27"/>
      <c r="G44" s="27"/>
      <c r="H44" s="26" t="s">
        <v>70</v>
      </c>
      <c r="I44" s="66" t="s">
        <v>11</v>
      </c>
      <c r="J44" s="27"/>
      <c r="K44" s="27">
        <f>$J$10*D39</f>
        <v>6.748410806372064</v>
      </c>
      <c r="L44" s="27">
        <f>$K$10*D39</f>
        <v>11.278345193627937</v>
      </c>
      <c r="M44" s="27">
        <f>SUM(K44:L44)</f>
        <v>18.026755999999999</v>
      </c>
      <c r="P44" s="26"/>
      <c r="R44" s="62"/>
      <c r="S44" s="62"/>
      <c r="T44" s="62"/>
      <c r="U44" s="178"/>
      <c r="V44" s="178"/>
      <c r="W44" s="178"/>
      <c r="X44" s="178"/>
      <c r="Y44" s="178"/>
      <c r="Z44" s="178"/>
      <c r="AA44" s="178"/>
      <c r="AB44" s="178"/>
      <c r="AC44" s="148"/>
      <c r="AD44" s="148"/>
      <c r="AE44" s="148"/>
      <c r="AF44" s="178"/>
      <c r="AG44" s="178"/>
      <c r="AH44" s="178"/>
      <c r="AI44" s="178"/>
      <c r="AJ44" s="178"/>
      <c r="AK44" s="148"/>
      <c r="AL44" s="148"/>
    </row>
    <row r="45" spans="1:41" ht="14.25" customHeight="1">
      <c r="A45" s="26"/>
      <c r="C45" s="27"/>
      <c r="D45" s="27"/>
      <c r="E45" s="27"/>
      <c r="G45" s="27"/>
      <c r="H45" s="26" t="s">
        <v>71</v>
      </c>
      <c r="I45" s="66" t="s">
        <v>11</v>
      </c>
      <c r="J45" s="27"/>
      <c r="K45" s="27">
        <f>$J$11*D39</f>
        <v>0.83551631040600649</v>
      </c>
      <c r="L45" s="27">
        <f>$K$11*D39</f>
        <v>51.923769689593996</v>
      </c>
      <c r="M45" s="27">
        <f>SUM(K45:L45)</f>
        <v>52.759286000000003</v>
      </c>
      <c r="P45" s="26" t="s">
        <v>71</v>
      </c>
      <c r="R45" s="178"/>
      <c r="S45" s="178">
        <f>$Q$8*D39</f>
        <v>-0.93505442298103958</v>
      </c>
      <c r="T45" s="178">
        <f>$R$8*D39</f>
        <v>19.943218596887849</v>
      </c>
      <c r="U45" s="178">
        <f>SUM(S45:T45)</f>
        <v>19.00816417390681</v>
      </c>
      <c r="V45" s="178"/>
      <c r="W45" s="178"/>
      <c r="X45" s="178" t="s">
        <v>71</v>
      </c>
      <c r="Y45" s="178"/>
      <c r="Z45" s="178"/>
      <c r="AA45" s="178">
        <f>$Y$8*D39</f>
        <v>-0.93505442298103958</v>
      </c>
      <c r="AB45" s="178">
        <f>$Z$8*D39</f>
        <v>19.943218596887849</v>
      </c>
      <c r="AC45" s="148">
        <f>SUM(AA45:AB45)</f>
        <v>19.00816417390681</v>
      </c>
      <c r="AD45" s="148"/>
      <c r="AE45" s="148"/>
      <c r="AF45" s="178" t="s">
        <v>71</v>
      </c>
      <c r="AG45" s="178"/>
      <c r="AH45" s="178"/>
      <c r="AI45" s="178">
        <f>$AG$8*D39</f>
        <v>-0.93505442298103958</v>
      </c>
      <c r="AJ45" s="178">
        <f>$AH$8*D39</f>
        <v>19.943218596887849</v>
      </c>
      <c r="AK45" s="148">
        <f>SUM(AI45:AJ45)</f>
        <v>19.00816417390681</v>
      </c>
      <c r="AL45" s="148"/>
    </row>
    <row r="46" spans="1:41" ht="14.25" customHeight="1">
      <c r="A46" s="26"/>
      <c r="C46" s="27"/>
      <c r="D46" s="33"/>
      <c r="E46" s="27"/>
      <c r="G46" s="27"/>
      <c r="H46" s="26" t="s">
        <v>72</v>
      </c>
      <c r="I46" s="66" t="s">
        <v>11</v>
      </c>
      <c r="J46" s="27"/>
      <c r="K46" s="27">
        <f>$J$15*D39</f>
        <v>0.91188474162006095</v>
      </c>
      <c r="L46" s="27">
        <f>$K$15*D39</f>
        <v>112.40502125837993</v>
      </c>
      <c r="M46" s="27">
        <f>SUM(K46:L46)</f>
        <v>113.31690599999999</v>
      </c>
      <c r="P46" s="26" t="s">
        <v>73</v>
      </c>
      <c r="R46" s="253"/>
      <c r="S46" s="253">
        <f>$Q$9*D39</f>
        <v>1.5185531283947691</v>
      </c>
      <c r="T46" s="253">
        <f>$R$9*D39</f>
        <v>154.16552393399684</v>
      </c>
      <c r="U46" s="253">
        <f>SUM(S46:T46)</f>
        <v>155.68407706239159</v>
      </c>
      <c r="V46" s="253"/>
      <c r="W46" s="253"/>
      <c r="X46" s="253" t="s">
        <v>73</v>
      </c>
      <c r="Y46" s="253"/>
      <c r="Z46" s="253"/>
      <c r="AA46" s="253">
        <f>$Y$9*D39</f>
        <v>1.5185531283947691</v>
      </c>
      <c r="AB46" s="253">
        <f>$Z$9*D39</f>
        <v>154.16552393399684</v>
      </c>
      <c r="AC46" s="154">
        <f>SUM(AA46:AB46)</f>
        <v>155.68407706239159</v>
      </c>
      <c r="AD46" s="154"/>
      <c r="AE46" s="154"/>
      <c r="AF46" s="253" t="s">
        <v>73</v>
      </c>
      <c r="AG46" s="253"/>
      <c r="AH46" s="253"/>
      <c r="AI46" s="253">
        <f>$AG$9*D39</f>
        <v>1.5185531283947691</v>
      </c>
      <c r="AJ46" s="253">
        <f>$AH$9*D39</f>
        <v>154.16552393399684</v>
      </c>
      <c r="AK46" s="154">
        <f>SUM(AI46:AJ46)</f>
        <v>155.68407706239159</v>
      </c>
      <c r="AL46" s="154"/>
    </row>
    <row r="47" spans="1:41" ht="14.25" customHeight="1">
      <c r="A47" s="29"/>
      <c r="C47" s="27"/>
      <c r="D47" s="80"/>
      <c r="E47" s="80"/>
      <c r="G47" s="80"/>
      <c r="H47" s="29" t="s">
        <v>74</v>
      </c>
      <c r="I47" s="66" t="s">
        <v>11</v>
      </c>
      <c r="J47" s="80"/>
      <c r="K47" s="80">
        <f>SUM(K41:K46)</f>
        <v>398.09968771239022</v>
      </c>
      <c r="L47" s="80">
        <f>SUM(L41:L46)</f>
        <v>185.47904428760978</v>
      </c>
      <c r="M47" s="80">
        <f>SUM(M41:M46)</f>
        <v>583.57873199999995</v>
      </c>
      <c r="O47" s="150"/>
      <c r="P47" s="29" t="s">
        <v>74</v>
      </c>
      <c r="R47" s="149"/>
      <c r="S47" s="80">
        <f>SUM(S41:S46)</f>
        <v>429.26462745599139</v>
      </c>
      <c r="T47" s="149">
        <f>SUM(T41:T46)</f>
        <v>179.70053043716288</v>
      </c>
      <c r="U47" s="149">
        <f>SUM(U41:U46)</f>
        <v>608.96515789315424</v>
      </c>
      <c r="V47" s="149"/>
      <c r="W47" s="149"/>
      <c r="X47" s="29" t="s">
        <v>74</v>
      </c>
      <c r="Y47" s="149"/>
      <c r="Z47" s="149"/>
      <c r="AA47" s="149">
        <f>SUM(AA41:AA46)</f>
        <v>520.8615329057717</v>
      </c>
      <c r="AB47" s="149">
        <f>SUM(AB41:AB46)</f>
        <v>181.26259279070479</v>
      </c>
      <c r="AC47" s="149">
        <f>SUM(AC41:AC46)</f>
        <v>702.12412569647654</v>
      </c>
      <c r="AD47" s="149"/>
      <c r="AE47" s="149"/>
      <c r="AF47" s="29" t="s">
        <v>74</v>
      </c>
      <c r="AG47" s="149"/>
      <c r="AH47" s="149"/>
      <c r="AI47" s="149">
        <f>SUM(AI41:AI46)</f>
        <v>427.3889740629881</v>
      </c>
      <c r="AJ47" s="149">
        <f>SUM(AJ41:AJ46)</f>
        <v>179.66854368456336</v>
      </c>
      <c r="AK47" s="149">
        <f>SUM(AK41:AK46)</f>
        <v>607.0575177475514</v>
      </c>
      <c r="AL47" s="149"/>
    </row>
    <row r="48" spans="1:41" ht="14.25" customHeight="1">
      <c r="A48" s="26"/>
      <c r="C48" s="27"/>
      <c r="D48" s="33"/>
      <c r="E48" s="27"/>
      <c r="H48" s="27"/>
      <c r="I48" s="27"/>
      <c r="J48" s="27"/>
      <c r="K48" s="27"/>
      <c r="L48" s="27"/>
      <c r="M48" s="27"/>
    </row>
    <row r="49" spans="1:41" s="32" customFormat="1" ht="14.25" customHeight="1">
      <c r="A49" s="31"/>
      <c r="B49" s="81"/>
      <c r="C49" s="33"/>
      <c r="D49" s="64"/>
      <c r="E49" s="64"/>
      <c r="H49" s="64" t="s">
        <v>24</v>
      </c>
      <c r="I49" s="64"/>
      <c r="J49" s="64"/>
      <c r="K49" s="64"/>
      <c r="L49" s="64"/>
      <c r="M49" s="64"/>
      <c r="O49" s="64"/>
      <c r="P49" s="64"/>
      <c r="Q49" s="64"/>
      <c r="R49" s="64"/>
      <c r="S49" s="64" t="s">
        <v>75</v>
      </c>
      <c r="T49" s="64"/>
      <c r="U49" s="151">
        <f>U47/M47</f>
        <v>1.0435012869748554</v>
      </c>
      <c r="V49" s="151"/>
      <c r="W49" s="151"/>
      <c r="X49" s="257"/>
      <c r="Y49" s="151"/>
      <c r="Z49" s="151"/>
      <c r="AA49" s="151" t="s">
        <v>75</v>
      </c>
      <c r="AB49" s="151"/>
      <c r="AC49" s="151">
        <f>AC47/M47</f>
        <v>1.203135219287732</v>
      </c>
      <c r="AD49" s="151"/>
      <c r="AE49" s="151"/>
      <c r="AF49" s="257"/>
      <c r="AG49" s="151"/>
      <c r="AH49" s="151"/>
      <c r="AI49" s="151" t="s">
        <v>75</v>
      </c>
      <c r="AJ49" s="151"/>
      <c r="AK49" s="151">
        <f>AK47/M47</f>
        <v>1.0402324218826251</v>
      </c>
      <c r="AL49" s="151"/>
    </row>
    <row r="50" spans="1:41" ht="14.25" customHeight="1">
      <c r="O50" s="152"/>
      <c r="P50" s="152"/>
      <c r="Q50" s="152"/>
      <c r="R50" s="152"/>
      <c r="AM50" s="417"/>
      <c r="AN50" s="417"/>
      <c r="AO50" s="417"/>
    </row>
    <row r="51" spans="1:41" ht="14.25" customHeight="1" thickBot="1">
      <c r="O51" s="150"/>
      <c r="P51" s="150"/>
      <c r="Q51" s="150"/>
      <c r="R51" s="150"/>
      <c r="AM51" s="196"/>
      <c r="AN51" s="196"/>
      <c r="AO51" s="196"/>
    </row>
    <row r="52" spans="1:41" ht="14.25" customHeight="1" thickTop="1" thickBot="1">
      <c r="A52" s="74"/>
      <c r="C52" s="75"/>
      <c r="D52" s="23"/>
      <c r="E52" s="23"/>
      <c r="G52" s="23"/>
      <c r="H52" s="23"/>
      <c r="I52" s="23"/>
      <c r="J52" s="52" t="s">
        <v>76</v>
      </c>
      <c r="K52" s="52" t="s">
        <v>60</v>
      </c>
      <c r="L52" s="51" t="s">
        <v>61</v>
      </c>
      <c r="M52" s="52" t="s">
        <v>62</v>
      </c>
      <c r="O52" s="153"/>
      <c r="P52" s="23"/>
      <c r="Q52" s="23"/>
      <c r="R52" s="52" t="s">
        <v>59</v>
      </c>
      <c r="S52" s="52" t="s">
        <v>60</v>
      </c>
      <c r="T52" s="51" t="s">
        <v>61</v>
      </c>
      <c r="U52" s="52" t="s">
        <v>62</v>
      </c>
      <c r="V52" s="52"/>
      <c r="W52" s="52"/>
      <c r="X52" s="52"/>
      <c r="Y52" s="52"/>
      <c r="Z52" s="52" t="s">
        <v>59</v>
      </c>
      <c r="AA52" s="52" t="s">
        <v>60</v>
      </c>
      <c r="AB52" s="52" t="s">
        <v>61</v>
      </c>
      <c r="AC52" s="52" t="s">
        <v>62</v>
      </c>
      <c r="AD52" s="52"/>
      <c r="AE52" s="52"/>
      <c r="AF52" s="52"/>
      <c r="AG52" s="52"/>
      <c r="AH52" s="52" t="s">
        <v>59</v>
      </c>
      <c r="AI52" s="52" t="s">
        <v>60</v>
      </c>
      <c r="AJ52" s="52" t="s">
        <v>61</v>
      </c>
      <c r="AK52" s="52" t="s">
        <v>62</v>
      </c>
      <c r="AL52" s="52"/>
      <c r="AM52" s="347"/>
      <c r="AN52" s="53"/>
      <c r="AO52" s="53"/>
    </row>
    <row r="53" spans="1:41" ht="14.25" customHeight="1" thickBot="1">
      <c r="A53" s="70" t="s">
        <v>63</v>
      </c>
      <c r="B53" s="66" t="s">
        <v>8</v>
      </c>
      <c r="C53" s="25"/>
      <c r="D53" s="76">
        <v>2400</v>
      </c>
      <c r="E53" s="77"/>
      <c r="G53" s="77"/>
      <c r="H53" s="70"/>
      <c r="I53" s="66"/>
      <c r="J53" s="77"/>
      <c r="K53" s="77"/>
      <c r="L53" s="77"/>
      <c r="M53" s="77"/>
      <c r="P53" s="70"/>
      <c r="X53" s="150"/>
      <c r="AF53" s="150"/>
    </row>
    <row r="54" spans="1:41" ht="14.25" customHeight="1" thickBot="1">
      <c r="A54" s="67" t="s">
        <v>64</v>
      </c>
      <c r="D54" s="78">
        <f>(D53/365)/'Load Factor'!$B$14</f>
        <v>24.362687338309179</v>
      </c>
      <c r="E54" s="79"/>
      <c r="G54" s="79"/>
      <c r="H54" s="67"/>
      <c r="I54" s="66"/>
      <c r="J54" s="79"/>
      <c r="K54" s="79"/>
      <c r="L54" s="79"/>
      <c r="M54" s="79"/>
      <c r="P54" s="67"/>
      <c r="X54" s="150"/>
      <c r="AF54" s="150"/>
    </row>
    <row r="55" spans="1:41" ht="14.25" customHeight="1">
      <c r="A55" s="161" t="s">
        <v>41</v>
      </c>
      <c r="B55" s="162">
        <v>360</v>
      </c>
      <c r="C55" s="27"/>
      <c r="E55" s="27"/>
      <c r="G55" s="27"/>
      <c r="H55" s="26" t="s">
        <v>65</v>
      </c>
      <c r="I55" s="66" t="s">
        <v>11</v>
      </c>
      <c r="J55" s="27">
        <f>$J$4</f>
        <v>24.72</v>
      </c>
      <c r="K55" s="27">
        <f>J55*12</f>
        <v>296.64</v>
      </c>
      <c r="L55" s="27">
        <f>$K$4*12</f>
        <v>0</v>
      </c>
      <c r="M55" s="27">
        <f>SUM(K55:L55)</f>
        <v>296.64</v>
      </c>
      <c r="P55" s="26" t="s">
        <v>66</v>
      </c>
      <c r="R55" s="178">
        <f>$Q$5</f>
        <v>29.097610156886343</v>
      </c>
      <c r="S55" s="178">
        <f>R55*12</f>
        <v>349.17132188263611</v>
      </c>
      <c r="T55" s="178">
        <f>$R$5*12</f>
        <v>0</v>
      </c>
      <c r="U55" s="178">
        <f>SUM(S55:T55)</f>
        <v>349.17132188263611</v>
      </c>
      <c r="V55" s="178"/>
      <c r="W55" s="178"/>
      <c r="X55" s="178" t="s">
        <v>66</v>
      </c>
      <c r="Y55" s="178"/>
      <c r="Z55" s="178"/>
      <c r="AA55" s="178">
        <f>$Y$5*12</f>
        <v>520.27803420035798</v>
      </c>
      <c r="AB55" s="178">
        <f>$Z$5*12</f>
        <v>2.9179954545121554</v>
      </c>
      <c r="AC55" s="148">
        <f>SUM(AA55:AB55)</f>
        <v>523.19602965487013</v>
      </c>
      <c r="AD55" s="148"/>
      <c r="AE55" s="148"/>
      <c r="AF55" s="178" t="s">
        <v>66</v>
      </c>
      <c r="AG55" s="178"/>
      <c r="AH55" s="178">
        <f>$AG$5</f>
        <v>29.097610156886343</v>
      </c>
      <c r="AI55" s="178">
        <f>AH55*12</f>
        <v>349.17132188263611</v>
      </c>
      <c r="AJ55" s="178">
        <f>$AH$5*12</f>
        <v>0</v>
      </c>
      <c r="AK55" s="148">
        <f>SUM(AI55:AJ55)</f>
        <v>349.17132188263611</v>
      </c>
      <c r="AL55" s="148"/>
    </row>
    <row r="56" spans="1:41" ht="14.25" customHeight="1">
      <c r="A56" s="161" t="s">
        <v>43</v>
      </c>
      <c r="B56" s="162">
        <v>552</v>
      </c>
      <c r="C56" s="27"/>
      <c r="E56" s="27"/>
      <c r="G56" s="27"/>
      <c r="H56" s="26"/>
      <c r="I56" s="66"/>
      <c r="J56" s="27"/>
      <c r="K56" s="27"/>
      <c r="L56" s="27"/>
      <c r="M56" s="27"/>
      <c r="P56" s="26" t="s">
        <v>67</v>
      </c>
      <c r="R56" s="178"/>
      <c r="S56" s="178">
        <f>$Q$6*D54*12</f>
        <v>176.52501062262675</v>
      </c>
      <c r="T56" s="178">
        <f>$R$6*D54*12</f>
        <v>3.0103972639487453</v>
      </c>
      <c r="U56" s="178">
        <f>SUM(S56:T56)</f>
        <v>179.53540788657548</v>
      </c>
      <c r="V56" s="178"/>
      <c r="W56" s="178"/>
      <c r="X56" s="178"/>
      <c r="Y56" s="178"/>
      <c r="Z56" s="178"/>
      <c r="AA56" s="178"/>
      <c r="AB56" s="178"/>
      <c r="AC56" s="148"/>
      <c r="AD56" s="148"/>
      <c r="AE56" s="148"/>
      <c r="AF56" s="178"/>
      <c r="AG56" s="178"/>
      <c r="AH56" s="178"/>
      <c r="AI56" s="178"/>
      <c r="AJ56" s="178"/>
      <c r="AK56" s="148"/>
      <c r="AL56" s="148"/>
    </row>
    <row r="57" spans="1:41" ht="14.25" customHeight="1">
      <c r="A57" s="161" t="s">
        <v>45</v>
      </c>
      <c r="B57" s="162">
        <v>589</v>
      </c>
      <c r="C57" s="27"/>
      <c r="E57" s="27"/>
      <c r="G57" s="27"/>
      <c r="H57" s="26" t="s">
        <v>68</v>
      </c>
      <c r="I57" s="66" t="s">
        <v>11</v>
      </c>
      <c r="J57" s="27"/>
      <c r="K57" s="27">
        <f>SUMPRODUCT($J$6:$J$9,B55:B58)</f>
        <v>192.76645702442198</v>
      </c>
      <c r="L57" s="27">
        <f>SUMPRODUCT($K$6:$K$9,B55:B58)</f>
        <v>22.046578975578043</v>
      </c>
      <c r="M57" s="27">
        <f>SUM(K57:L57)</f>
        <v>214.81303600000001</v>
      </c>
      <c r="P57" s="26" t="s">
        <v>69</v>
      </c>
      <c r="R57" s="178"/>
      <c r="S57" s="178">
        <f>$Q$7*D53</f>
        <v>0</v>
      </c>
      <c r="T57" s="178">
        <f>$R$7*D53</f>
        <v>9.4043029905079472</v>
      </c>
      <c r="U57" s="178">
        <f>SUM(S57+T57)</f>
        <v>9.4043029905079472</v>
      </c>
      <c r="V57" s="178"/>
      <c r="W57" s="178"/>
      <c r="X57" s="178" t="s">
        <v>69</v>
      </c>
      <c r="Y57" s="178"/>
      <c r="Z57" s="178"/>
      <c r="AA57" s="178">
        <f>$Y$7*D53</f>
        <v>0</v>
      </c>
      <c r="AB57" s="178">
        <f>$Z$7*D53</f>
        <v>9.4043029905079472</v>
      </c>
      <c r="AC57" s="148">
        <f>SUM(AA57:AB57)</f>
        <v>9.4043029905079472</v>
      </c>
      <c r="AD57" s="148"/>
      <c r="AE57" s="148"/>
      <c r="AF57" s="178" t="s">
        <v>69</v>
      </c>
      <c r="AG57" s="178"/>
      <c r="AH57" s="178"/>
      <c r="AI57" s="178">
        <f>$AG$7*D53</f>
        <v>172.3607477704457</v>
      </c>
      <c r="AJ57" s="178">
        <f>$AH$7*D53</f>
        <v>12.34368433749199</v>
      </c>
      <c r="AK57" s="148">
        <f>SUM(AI57:AJ57)</f>
        <v>184.70443210793769</v>
      </c>
      <c r="AL57" s="148"/>
    </row>
    <row r="58" spans="1:41" ht="14.25" customHeight="1">
      <c r="A58" s="161" t="s">
        <v>47</v>
      </c>
      <c r="B58" s="163">
        <v>899</v>
      </c>
      <c r="C58" s="27"/>
      <c r="E58" s="27"/>
      <c r="G58" s="27"/>
      <c r="H58" s="26" t="s">
        <v>70</v>
      </c>
      <c r="I58" s="66" t="s">
        <v>11</v>
      </c>
      <c r="J58" s="27"/>
      <c r="K58" s="27">
        <f>$J$10*D53</f>
        <v>14.982595684822343</v>
      </c>
      <c r="L58" s="27">
        <f>$K$10*D53</f>
        <v>25.039804315177655</v>
      </c>
      <c r="M58" s="27">
        <f>SUM(K58:L58)</f>
        <v>40.022399999999998</v>
      </c>
      <c r="P58" s="26"/>
      <c r="R58" s="62"/>
      <c r="S58" s="62"/>
      <c r="T58" s="62"/>
      <c r="U58" s="178"/>
      <c r="V58" s="178"/>
      <c r="W58" s="178"/>
      <c r="X58" s="178"/>
      <c r="Y58" s="178"/>
      <c r="Z58" s="178"/>
      <c r="AA58" s="178"/>
      <c r="AB58" s="178"/>
      <c r="AC58" s="148"/>
      <c r="AD58" s="148"/>
      <c r="AE58" s="148"/>
      <c r="AF58" s="178"/>
      <c r="AG58" s="178"/>
      <c r="AH58" s="178"/>
      <c r="AI58" s="178"/>
      <c r="AJ58" s="178"/>
      <c r="AK58" s="148"/>
      <c r="AL58" s="148"/>
    </row>
    <row r="59" spans="1:41" ht="14.25" customHeight="1">
      <c r="A59" s="26"/>
      <c r="C59" s="27"/>
      <c r="D59" s="27"/>
      <c r="E59" s="27"/>
      <c r="G59" s="27"/>
      <c r="H59" s="26" t="s">
        <v>71</v>
      </c>
      <c r="I59" s="66" t="s">
        <v>11</v>
      </c>
      <c r="J59" s="27"/>
      <c r="K59" s="27">
        <f>$J$11*D53</f>
        <v>1.8549853330013093</v>
      </c>
      <c r="L59" s="27">
        <f>$K$11*D53</f>
        <v>115.27941466699869</v>
      </c>
      <c r="M59" s="27">
        <f>SUM(K59:L59)</f>
        <v>117.1344</v>
      </c>
      <c r="P59" s="26" t="s">
        <v>71</v>
      </c>
      <c r="R59" s="178"/>
      <c r="S59" s="178">
        <f>$Q$8*D53</f>
        <v>-2.0759765172567022</v>
      </c>
      <c r="T59" s="178">
        <f>$R$8*D53</f>
        <v>44.277266080047028</v>
      </c>
      <c r="U59" s="178">
        <f>SUM(S59:T59)</f>
        <v>42.201289562790322</v>
      </c>
      <c r="V59" s="178"/>
      <c r="W59" s="178"/>
      <c r="X59" s="178" t="s">
        <v>71</v>
      </c>
      <c r="Y59" s="178"/>
      <c r="Z59" s="178"/>
      <c r="AA59" s="178">
        <f>$Y$8*D53</f>
        <v>-2.0759765172567022</v>
      </c>
      <c r="AB59" s="178">
        <f>$Z$8*D53</f>
        <v>44.277266080047028</v>
      </c>
      <c r="AC59" s="148">
        <f>SUM(AA59:AB59)</f>
        <v>42.201289562790322</v>
      </c>
      <c r="AD59" s="148"/>
      <c r="AE59" s="148"/>
      <c r="AF59" s="178" t="s">
        <v>71</v>
      </c>
      <c r="AG59" s="178"/>
      <c r="AH59" s="178"/>
      <c r="AI59" s="178">
        <f>$AG$8*D53</f>
        <v>-2.0759765172567022</v>
      </c>
      <c r="AJ59" s="178">
        <f>$AH$8*D53</f>
        <v>44.277266080047028</v>
      </c>
      <c r="AK59" s="148">
        <f>SUM(AI59:AJ59)</f>
        <v>42.201289562790322</v>
      </c>
      <c r="AL59" s="148"/>
    </row>
    <row r="60" spans="1:41" ht="14.25" customHeight="1">
      <c r="A60" s="26"/>
      <c r="C60" s="27"/>
      <c r="D60" s="33"/>
      <c r="E60" s="27"/>
      <c r="G60" s="27"/>
      <c r="H60" s="26" t="s">
        <v>72</v>
      </c>
      <c r="I60" s="66" t="s">
        <v>11</v>
      </c>
      <c r="J60" s="27"/>
      <c r="K60" s="27">
        <f>$J$15*D53</f>
        <v>2.0245359665940299</v>
      </c>
      <c r="L60" s="27">
        <f>$K$15*D53</f>
        <v>249.55786403340596</v>
      </c>
      <c r="M60" s="27">
        <f>SUM(K60:L60)</f>
        <v>251.58240000000001</v>
      </c>
      <c r="P60" s="26" t="s">
        <v>73</v>
      </c>
      <c r="R60" s="253"/>
      <c r="S60" s="253">
        <f>$Q$9*D53</f>
        <v>3.3714408030966196</v>
      </c>
      <c r="T60" s="253">
        <f>$R$9*D53</f>
        <v>342.27313361849434</v>
      </c>
      <c r="U60" s="253">
        <f>SUM(S60:T60)</f>
        <v>345.64457442159096</v>
      </c>
      <c r="V60" s="253"/>
      <c r="W60" s="253"/>
      <c r="X60" s="253" t="s">
        <v>73</v>
      </c>
      <c r="Y60" s="253"/>
      <c r="Z60" s="253"/>
      <c r="AA60" s="253">
        <f>$Y$9*D53</f>
        <v>3.3714408030966196</v>
      </c>
      <c r="AB60" s="253">
        <f>$Z$9*D53</f>
        <v>342.27313361849434</v>
      </c>
      <c r="AC60" s="154">
        <f>SUM(AA60:AB60)</f>
        <v>345.64457442159096</v>
      </c>
      <c r="AD60" s="154"/>
      <c r="AE60" s="154"/>
      <c r="AF60" s="253" t="s">
        <v>73</v>
      </c>
      <c r="AG60" s="253"/>
      <c r="AH60" s="253"/>
      <c r="AI60" s="253">
        <f>$AG$9*D53</f>
        <v>3.3714408030966196</v>
      </c>
      <c r="AJ60" s="253">
        <f>$AH$9*D53</f>
        <v>342.27313361849434</v>
      </c>
      <c r="AK60" s="154">
        <f>SUM(AI60:AJ60)</f>
        <v>345.64457442159096</v>
      </c>
      <c r="AL60" s="154"/>
    </row>
    <row r="61" spans="1:41" ht="14.25" customHeight="1">
      <c r="A61" s="29"/>
      <c r="C61" s="27"/>
      <c r="D61" s="80"/>
      <c r="E61" s="80"/>
      <c r="G61" s="80"/>
      <c r="H61" s="29" t="s">
        <v>74</v>
      </c>
      <c r="I61" s="66" t="s">
        <v>11</v>
      </c>
      <c r="J61" s="80"/>
      <c r="K61" s="80">
        <f>SUM(K55:K60)</f>
        <v>508.26857400883966</v>
      </c>
      <c r="L61" s="80">
        <f>SUM(L55:L60)</f>
        <v>411.92366199116032</v>
      </c>
      <c r="M61" s="80">
        <f>SUM(M55:M60)</f>
        <v>920.19223599999998</v>
      </c>
      <c r="O61" s="150"/>
      <c r="P61" s="29" t="s">
        <v>74</v>
      </c>
      <c r="R61" s="149"/>
      <c r="S61" s="80">
        <f>SUM(S55:S60)</f>
        <v>526.99179679110284</v>
      </c>
      <c r="T61" s="149">
        <f>SUM(T55:T60)</f>
        <v>398.96509995299806</v>
      </c>
      <c r="U61" s="149">
        <f>SUM(U55:U60)</f>
        <v>925.95689674410085</v>
      </c>
      <c r="V61" s="149"/>
      <c r="W61" s="149"/>
      <c r="X61" s="29" t="s">
        <v>74</v>
      </c>
      <c r="Y61" s="149"/>
      <c r="Z61" s="149"/>
      <c r="AA61" s="149">
        <f>SUM(AA55:AA60)</f>
        <v>521.57349848619799</v>
      </c>
      <c r="AB61" s="149">
        <f>SUM(AB55:AB60)</f>
        <v>398.87269814356148</v>
      </c>
      <c r="AC61" s="149">
        <f>SUM(AC55:AC60)</f>
        <v>920.44619662975936</v>
      </c>
      <c r="AD61" s="149"/>
      <c r="AE61" s="149"/>
      <c r="AF61" s="29" t="s">
        <v>74</v>
      </c>
      <c r="AG61" s="149"/>
      <c r="AH61" s="149"/>
      <c r="AI61" s="149">
        <f>SUM(AI55:AI60)</f>
        <v>522.82753393892187</v>
      </c>
      <c r="AJ61" s="149">
        <f>SUM(AJ55:AJ60)</f>
        <v>398.89408403603335</v>
      </c>
      <c r="AK61" s="149">
        <f>SUM(AK55:AK60)</f>
        <v>921.72161797495505</v>
      </c>
      <c r="AL61" s="149"/>
    </row>
    <row r="62" spans="1:41" ht="14.25" customHeight="1">
      <c r="A62" s="26"/>
      <c r="C62" s="27"/>
      <c r="D62" s="33"/>
      <c r="E62" s="27"/>
      <c r="H62" s="27"/>
      <c r="I62" s="27"/>
      <c r="J62" s="27"/>
      <c r="K62" s="27"/>
      <c r="L62" s="27"/>
      <c r="M62" s="27"/>
    </row>
    <row r="63" spans="1:41" s="32" customFormat="1" ht="14.25" customHeight="1">
      <c r="A63" s="31"/>
      <c r="B63" s="81"/>
      <c r="C63" s="33"/>
      <c r="D63" s="64"/>
      <c r="E63" s="64"/>
      <c r="H63" s="64" t="s">
        <v>24</v>
      </c>
      <c r="I63" s="64"/>
      <c r="J63" s="64"/>
      <c r="K63" s="64"/>
      <c r="L63" s="64"/>
      <c r="M63" s="64"/>
      <c r="O63" s="64"/>
      <c r="P63" s="64"/>
      <c r="Q63" s="64"/>
      <c r="R63" s="64"/>
      <c r="S63" s="64" t="s">
        <v>75</v>
      </c>
      <c r="T63" s="64"/>
      <c r="U63" s="151">
        <f>U61/M61</f>
        <v>1.0062646265840705</v>
      </c>
      <c r="V63" s="151"/>
      <c r="W63" s="151"/>
      <c r="X63" s="257"/>
      <c r="Y63" s="151"/>
      <c r="Z63" s="151"/>
      <c r="AA63" s="151" t="s">
        <v>75</v>
      </c>
      <c r="AB63" s="151"/>
      <c r="AC63" s="151">
        <f>AC61/M61</f>
        <v>1.0002759864948039</v>
      </c>
      <c r="AD63" s="151"/>
      <c r="AE63" s="151"/>
      <c r="AF63" s="257"/>
      <c r="AG63" s="151"/>
      <c r="AH63" s="151"/>
      <c r="AI63" s="151" t="s">
        <v>75</v>
      </c>
      <c r="AJ63" s="151"/>
      <c r="AK63" s="151">
        <f>AK61/M61</f>
        <v>1.0016620244282903</v>
      </c>
      <c r="AL63" s="151"/>
    </row>
    <row r="64" spans="1:41" s="71" customFormat="1" ht="14.25" customHeight="1">
      <c r="A64" s="71" t="s">
        <v>77</v>
      </c>
    </row>
    <row r="66" spans="1:41" ht="14.25" customHeight="1" thickBot="1">
      <c r="O66" s="421"/>
      <c r="P66" s="421"/>
      <c r="Q66" s="421"/>
      <c r="R66" s="421"/>
      <c r="S66" s="421"/>
      <c r="T66" s="421"/>
      <c r="U66" s="421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417"/>
      <c r="AN66" s="417"/>
      <c r="AO66" s="417"/>
    </row>
    <row r="67" spans="1:41" ht="14.25" customHeight="1" thickTop="1" thickBot="1">
      <c r="A67" s="19" t="s">
        <v>78</v>
      </c>
      <c r="G67" s="346"/>
      <c r="H67" s="346"/>
      <c r="I67" s="346"/>
      <c r="J67" s="346"/>
      <c r="K67" s="346"/>
      <c r="L67" s="346"/>
      <c r="M67" s="346"/>
      <c r="O67" s="416"/>
      <c r="P67" s="416"/>
      <c r="Q67" s="416"/>
      <c r="R67" s="416"/>
      <c r="U67" s="346"/>
      <c r="W67" s="346"/>
      <c r="X67" s="346"/>
      <c r="Y67" s="346"/>
      <c r="Z67" s="346"/>
      <c r="AA67" s="346"/>
      <c r="AB67" s="346"/>
      <c r="AC67" s="346"/>
      <c r="AE67" s="346"/>
      <c r="AF67" s="346"/>
      <c r="AG67" s="346"/>
      <c r="AH67" s="346"/>
      <c r="AI67" s="346"/>
      <c r="AJ67" s="346"/>
      <c r="AK67" s="346"/>
      <c r="AM67" s="196"/>
      <c r="AN67" s="196"/>
      <c r="AO67" s="196"/>
    </row>
    <row r="68" spans="1:41" ht="14.25" customHeight="1" thickTop="1" thickBot="1">
      <c r="A68" s="74"/>
      <c r="C68" s="75"/>
      <c r="D68" s="23"/>
      <c r="E68" s="23"/>
      <c r="G68" s="23"/>
      <c r="H68" s="23"/>
      <c r="I68" s="23"/>
      <c r="J68" s="52" t="s">
        <v>76</v>
      </c>
      <c r="K68" s="52" t="s">
        <v>60</v>
      </c>
      <c r="L68" s="51" t="s">
        <v>61</v>
      </c>
      <c r="M68" s="52" t="s">
        <v>62</v>
      </c>
      <c r="O68" s="153"/>
      <c r="P68" s="23"/>
      <c r="Q68" s="23"/>
      <c r="R68" s="52" t="s">
        <v>59</v>
      </c>
      <c r="S68" s="52" t="s">
        <v>60</v>
      </c>
      <c r="T68" s="51" t="s">
        <v>61</v>
      </c>
      <c r="U68" s="52" t="s">
        <v>62</v>
      </c>
      <c r="V68" s="52"/>
      <c r="W68" s="52"/>
      <c r="X68" s="52"/>
      <c r="Y68" s="52"/>
      <c r="Z68" s="52" t="s">
        <v>59</v>
      </c>
      <c r="AA68" s="52" t="s">
        <v>60</v>
      </c>
      <c r="AB68" s="52" t="s">
        <v>61</v>
      </c>
      <c r="AC68" s="52" t="s">
        <v>62</v>
      </c>
      <c r="AD68" s="52"/>
      <c r="AE68" s="52"/>
      <c r="AF68" s="52"/>
      <c r="AG68" s="52"/>
      <c r="AH68" s="52" t="s">
        <v>59</v>
      </c>
      <c r="AI68" s="52" t="s">
        <v>60</v>
      </c>
      <c r="AJ68" s="52" t="s">
        <v>61</v>
      </c>
      <c r="AK68" s="52" t="s">
        <v>62</v>
      </c>
      <c r="AL68" s="52"/>
      <c r="AM68" s="347"/>
      <c r="AN68" s="53"/>
      <c r="AO68" s="53"/>
    </row>
    <row r="69" spans="1:41" ht="14.25" customHeight="1" thickBot="1">
      <c r="A69" s="70" t="s">
        <v>63</v>
      </c>
      <c r="B69" s="66" t="s">
        <v>8</v>
      </c>
      <c r="C69" s="25"/>
      <c r="D69" s="76">
        <f>+D53</f>
        <v>2400</v>
      </c>
      <c r="E69" s="77"/>
      <c r="G69" s="77"/>
      <c r="H69" s="70"/>
      <c r="I69" s="66"/>
      <c r="J69" s="77"/>
      <c r="K69" s="77"/>
      <c r="L69" s="77"/>
      <c r="M69" s="77"/>
      <c r="P69" s="70"/>
      <c r="X69" s="150"/>
      <c r="AF69" s="150"/>
    </row>
    <row r="70" spans="1:41" ht="14.25" customHeight="1" thickBot="1">
      <c r="A70" s="67" t="s">
        <v>64</v>
      </c>
      <c r="D70" s="78">
        <f>(D69/365)/('Load Factor'!$B$14-2*'Load Factor'!$B$18)</f>
        <v>50.620843606342127</v>
      </c>
      <c r="E70" s="79"/>
      <c r="G70" s="79"/>
      <c r="H70" s="67"/>
      <c r="I70" s="66"/>
      <c r="J70" s="79"/>
      <c r="K70" s="79"/>
      <c r="L70" s="79"/>
      <c r="M70" s="79"/>
      <c r="P70" s="67"/>
      <c r="X70" s="150"/>
      <c r="AF70" s="150"/>
    </row>
    <row r="71" spans="1:41" ht="14.25" customHeight="1">
      <c r="A71" s="161" t="s">
        <v>41</v>
      </c>
      <c r="B71" s="254">
        <v>360</v>
      </c>
      <c r="C71" s="27"/>
      <c r="D71" s="27"/>
      <c r="E71" s="27"/>
      <c r="G71" s="27"/>
      <c r="H71" s="26" t="s">
        <v>65</v>
      </c>
      <c r="I71" s="66" t="s">
        <v>11</v>
      </c>
      <c r="J71" s="27">
        <f>$J$4</f>
        <v>24.72</v>
      </c>
      <c r="K71" s="27">
        <f>J71*12</f>
        <v>296.64</v>
      </c>
      <c r="L71" s="27">
        <f>$K$4*12</f>
        <v>0</v>
      </c>
      <c r="M71" s="27">
        <f>SUM(K71:L71)</f>
        <v>296.64</v>
      </c>
      <c r="P71" s="26" t="s">
        <v>66</v>
      </c>
      <c r="R71" s="178">
        <f>$Q$5</f>
        <v>29.097610156886343</v>
      </c>
      <c r="S71" s="178">
        <f>R71*12</f>
        <v>349.17132188263611</v>
      </c>
      <c r="T71" s="178">
        <f>$R$5*12</f>
        <v>0</v>
      </c>
      <c r="U71" s="178">
        <f>SUM(S71:T71)</f>
        <v>349.17132188263611</v>
      </c>
      <c r="V71" s="178"/>
      <c r="W71" s="178"/>
      <c r="X71" s="178" t="s">
        <v>66</v>
      </c>
      <c r="Y71" s="178"/>
      <c r="Z71" s="178"/>
      <c r="AA71" s="178">
        <f>$Y$5*12</f>
        <v>520.27803420035798</v>
      </c>
      <c r="AB71" s="178">
        <f>$Z$5*12</f>
        <v>2.9179954545121554</v>
      </c>
      <c r="AC71" s="148">
        <f>SUM(AA71:AB71)</f>
        <v>523.19602965487013</v>
      </c>
      <c r="AD71" s="148"/>
      <c r="AE71" s="148"/>
      <c r="AF71" s="178" t="s">
        <v>66</v>
      </c>
      <c r="AG71" s="178"/>
      <c r="AH71" s="178">
        <f>$AG$5</f>
        <v>29.097610156886343</v>
      </c>
      <c r="AI71" s="178">
        <f>AH71*12</f>
        <v>349.17132188263611</v>
      </c>
      <c r="AJ71" s="178">
        <f>$AH$5*12</f>
        <v>0</v>
      </c>
      <c r="AK71" s="148">
        <f>SUM(AI71:AJ71)</f>
        <v>349.17132188263611</v>
      </c>
      <c r="AL71" s="148"/>
    </row>
    <row r="72" spans="1:41" ht="14.25" customHeight="1">
      <c r="A72" s="161" t="s">
        <v>43</v>
      </c>
      <c r="B72" s="254">
        <v>552</v>
      </c>
      <c r="C72" s="27"/>
      <c r="D72" s="27"/>
      <c r="E72" s="27"/>
      <c r="G72" s="27"/>
      <c r="H72" s="26"/>
      <c r="I72" s="66"/>
      <c r="J72" s="27"/>
      <c r="K72" s="27"/>
      <c r="L72" s="27"/>
      <c r="M72" s="27"/>
      <c r="P72" s="26" t="s">
        <v>67</v>
      </c>
      <c r="R72" s="178"/>
      <c r="S72" s="178">
        <f>$Q$6*D70*12</f>
        <v>366.78404279665307</v>
      </c>
      <c r="T72" s="178">
        <f>$R$6*D70*12</f>
        <v>6.2550098425178806</v>
      </c>
      <c r="U72" s="178">
        <f>SUM(S72:T72)</f>
        <v>373.03905263917096</v>
      </c>
      <c r="V72" s="178"/>
      <c r="W72" s="178"/>
      <c r="X72" s="178"/>
      <c r="Y72" s="178"/>
      <c r="Z72" s="178"/>
      <c r="AA72" s="178"/>
      <c r="AB72" s="178"/>
      <c r="AC72" s="148"/>
      <c r="AD72" s="148"/>
      <c r="AE72" s="148"/>
      <c r="AF72" s="178"/>
      <c r="AG72" s="178"/>
      <c r="AH72" s="178"/>
      <c r="AI72" s="178"/>
      <c r="AJ72" s="178"/>
      <c r="AK72" s="148"/>
      <c r="AL72" s="148"/>
    </row>
    <row r="73" spans="1:41" ht="14.25" customHeight="1">
      <c r="A73" s="161" t="s">
        <v>45</v>
      </c>
      <c r="B73" s="254">
        <v>589</v>
      </c>
      <c r="C73" s="27"/>
      <c r="D73" s="27"/>
      <c r="E73" s="27"/>
      <c r="G73" s="27"/>
      <c r="H73" s="26" t="s">
        <v>68</v>
      </c>
      <c r="I73" s="66" t="s">
        <v>11</v>
      </c>
      <c r="J73" s="27"/>
      <c r="K73" s="27">
        <f>SUMPRODUCT($J$6:$J$9,B71:B74)</f>
        <v>192.76645702442198</v>
      </c>
      <c r="L73" s="27">
        <f>SUMPRODUCT($K$6:$K$9,B71:B74)</f>
        <v>22.046578975578043</v>
      </c>
      <c r="M73" s="27">
        <f>SUM(K73:L73)</f>
        <v>214.81303600000001</v>
      </c>
      <c r="P73" s="26" t="s">
        <v>69</v>
      </c>
      <c r="R73" s="178"/>
      <c r="S73" s="178">
        <f>$Q$7*D69</f>
        <v>0</v>
      </c>
      <c r="T73" s="178">
        <f>$R$7*D69</f>
        <v>9.4043029905079472</v>
      </c>
      <c r="U73" s="178">
        <f>SUM(S73+T73)</f>
        <v>9.4043029905079472</v>
      </c>
      <c r="V73" s="178"/>
      <c r="W73" s="178"/>
      <c r="X73" s="178" t="s">
        <v>69</v>
      </c>
      <c r="Y73" s="178"/>
      <c r="Z73" s="178"/>
      <c r="AA73" s="178">
        <f>$Y$7*D69</f>
        <v>0</v>
      </c>
      <c r="AB73" s="178">
        <f>$Z$7*D69</f>
        <v>9.4043029905079472</v>
      </c>
      <c r="AC73" s="148">
        <f>SUM(AA73:AB73)</f>
        <v>9.4043029905079472</v>
      </c>
      <c r="AD73" s="148"/>
      <c r="AE73" s="148"/>
      <c r="AF73" s="178" t="s">
        <v>69</v>
      </c>
      <c r="AG73" s="178"/>
      <c r="AH73" s="178"/>
      <c r="AI73" s="178">
        <f>$AG$7*D69</f>
        <v>172.3607477704457</v>
      </c>
      <c r="AJ73" s="178">
        <f>$AH$7*D69</f>
        <v>12.34368433749199</v>
      </c>
      <c r="AK73" s="148">
        <f>SUM(AI73:AJ73)</f>
        <v>184.70443210793769</v>
      </c>
      <c r="AL73" s="148"/>
    </row>
    <row r="74" spans="1:41" ht="14.25" customHeight="1">
      <c r="A74" s="161" t="s">
        <v>47</v>
      </c>
      <c r="B74" s="255">
        <v>899</v>
      </c>
      <c r="C74" s="27"/>
      <c r="D74" s="27"/>
      <c r="E74" s="27"/>
      <c r="G74" s="27"/>
      <c r="H74" s="26" t="s">
        <v>70</v>
      </c>
      <c r="I74" s="66" t="s">
        <v>11</v>
      </c>
      <c r="J74" s="27"/>
      <c r="K74" s="27">
        <f>$J$10*D69</f>
        <v>14.982595684822343</v>
      </c>
      <c r="L74" s="27">
        <f>$K$10*D69</f>
        <v>25.039804315177655</v>
      </c>
      <c r="M74" s="27">
        <f>SUM(K74:L74)</f>
        <v>40.022399999999998</v>
      </c>
      <c r="P74" s="26"/>
      <c r="R74" s="62"/>
      <c r="S74" s="62"/>
      <c r="T74" s="62"/>
      <c r="U74" s="178"/>
      <c r="V74" s="178"/>
      <c r="W74" s="178"/>
      <c r="X74" s="178"/>
      <c r="Y74" s="178"/>
      <c r="Z74" s="178"/>
      <c r="AA74" s="178"/>
      <c r="AB74" s="178"/>
      <c r="AC74" s="148"/>
      <c r="AD74" s="148"/>
      <c r="AE74" s="148"/>
      <c r="AF74" s="178"/>
      <c r="AG74" s="178"/>
      <c r="AH74" s="178"/>
      <c r="AI74" s="178"/>
      <c r="AJ74" s="178"/>
      <c r="AK74" s="148"/>
      <c r="AL74" s="148"/>
    </row>
    <row r="75" spans="1:41" ht="14.25" customHeight="1">
      <c r="A75" s="26"/>
      <c r="C75" s="27"/>
      <c r="D75" s="33"/>
      <c r="E75" s="27"/>
      <c r="G75" s="27"/>
      <c r="H75" s="26" t="s">
        <v>71</v>
      </c>
      <c r="I75" s="66" t="s">
        <v>11</v>
      </c>
      <c r="J75" s="27"/>
      <c r="K75" s="27">
        <f>$J$11*D69</f>
        <v>1.8549853330013093</v>
      </c>
      <c r="L75" s="27">
        <f>$K$11*D69</f>
        <v>115.27941466699869</v>
      </c>
      <c r="M75" s="27">
        <f>SUM(K75:L75)</f>
        <v>117.1344</v>
      </c>
      <c r="P75" s="26" t="s">
        <v>71</v>
      </c>
      <c r="R75" s="178"/>
      <c r="S75" s="178">
        <f>$Q$8*D69</f>
        <v>-2.0759765172567022</v>
      </c>
      <c r="T75" s="178">
        <f>$R$8*D69</f>
        <v>44.277266080047028</v>
      </c>
      <c r="U75" s="178">
        <f>SUM(S75:T75)</f>
        <v>42.201289562790322</v>
      </c>
      <c r="V75" s="178"/>
      <c r="W75" s="178"/>
      <c r="X75" s="178" t="s">
        <v>71</v>
      </c>
      <c r="Y75" s="178"/>
      <c r="Z75" s="178"/>
      <c r="AA75" s="178">
        <f>$Y$8*D69</f>
        <v>-2.0759765172567022</v>
      </c>
      <c r="AB75" s="178">
        <f>$Z$8*D69</f>
        <v>44.277266080047028</v>
      </c>
      <c r="AC75" s="148">
        <f>SUM(AA75:AB75)</f>
        <v>42.201289562790322</v>
      </c>
      <c r="AD75" s="154"/>
      <c r="AE75" s="154"/>
      <c r="AF75" s="178" t="s">
        <v>71</v>
      </c>
      <c r="AG75" s="178"/>
      <c r="AH75" s="178"/>
      <c r="AI75" s="178">
        <f>$AG$8*D69</f>
        <v>-2.0759765172567022</v>
      </c>
      <c r="AJ75" s="178">
        <f>$AH$8*D69</f>
        <v>44.277266080047028</v>
      </c>
      <c r="AK75" s="148">
        <f>SUM(AI75:AJ75)</f>
        <v>42.201289562790322</v>
      </c>
      <c r="AL75" s="154"/>
    </row>
    <row r="76" spans="1:41" ht="14.25" customHeight="1">
      <c r="A76" s="29"/>
      <c r="C76" s="27"/>
      <c r="D76" s="80"/>
      <c r="E76" s="80"/>
      <c r="G76" s="80"/>
      <c r="H76" s="26" t="s">
        <v>72</v>
      </c>
      <c r="I76" s="66" t="s">
        <v>11</v>
      </c>
      <c r="J76" s="27"/>
      <c r="K76" s="27">
        <f>$J$15*D69</f>
        <v>2.0245359665940299</v>
      </c>
      <c r="L76" s="27">
        <f>$K$15*D69</f>
        <v>249.55786403340596</v>
      </c>
      <c r="M76" s="27">
        <f>SUM(K76:L76)</f>
        <v>251.58240000000001</v>
      </c>
      <c r="O76" s="150"/>
      <c r="P76" s="26" t="s">
        <v>73</v>
      </c>
      <c r="R76" s="253"/>
      <c r="S76" s="253">
        <f>$Q$9*D69</f>
        <v>3.3714408030966196</v>
      </c>
      <c r="T76" s="253">
        <f>$R$9*D69</f>
        <v>342.27313361849434</v>
      </c>
      <c r="U76" s="253">
        <f>SUM(S76:T76)</f>
        <v>345.64457442159096</v>
      </c>
      <c r="V76" s="253"/>
      <c r="W76" s="253"/>
      <c r="X76" s="253" t="s">
        <v>73</v>
      </c>
      <c r="Y76" s="253"/>
      <c r="Z76" s="253"/>
      <c r="AA76" s="253">
        <f>$Y$9*D69</f>
        <v>3.3714408030966196</v>
      </c>
      <c r="AB76" s="253">
        <f>$Z$9*D69</f>
        <v>342.27313361849434</v>
      </c>
      <c r="AC76" s="154">
        <f>SUM(AA76:AB76)</f>
        <v>345.64457442159096</v>
      </c>
      <c r="AD76" s="149"/>
      <c r="AE76" s="149"/>
      <c r="AF76" s="253" t="s">
        <v>73</v>
      </c>
      <c r="AG76" s="253"/>
      <c r="AH76" s="253"/>
      <c r="AI76" s="253">
        <f>$AG$9*D69</f>
        <v>3.3714408030966196</v>
      </c>
      <c r="AJ76" s="253">
        <f>$AH$9*D69</f>
        <v>342.27313361849434</v>
      </c>
      <c r="AK76" s="154">
        <f>SUM(AI76:AJ76)</f>
        <v>345.64457442159096</v>
      </c>
      <c r="AL76" s="149"/>
    </row>
    <row r="77" spans="1:41" ht="14.25" customHeight="1">
      <c r="A77" s="29"/>
      <c r="C77" s="27"/>
      <c r="D77" s="80"/>
      <c r="E77" s="80"/>
      <c r="H77" s="29" t="s">
        <v>74</v>
      </c>
      <c r="I77" s="66" t="s">
        <v>11</v>
      </c>
      <c r="J77" s="80"/>
      <c r="K77" s="80">
        <f>SUM(K71:K76)</f>
        <v>508.26857400883966</v>
      </c>
      <c r="L77" s="80">
        <f>SUM(L71:L76)</f>
        <v>411.92366199116032</v>
      </c>
      <c r="M77" s="80">
        <f>SUM(M71:M76)</f>
        <v>920.19223599999998</v>
      </c>
      <c r="O77" s="148"/>
      <c r="P77" s="29" t="s">
        <v>74</v>
      </c>
      <c r="R77" s="149"/>
      <c r="S77" s="80">
        <f>SUM(S71:S76)</f>
        <v>717.25082896512924</v>
      </c>
      <c r="T77" s="149">
        <f>SUM(T71:T76)</f>
        <v>402.20971253156722</v>
      </c>
      <c r="U77" s="149">
        <f>SUM(U71:U76)</f>
        <v>1119.4605414966964</v>
      </c>
      <c r="V77" s="149"/>
      <c r="W77" s="149"/>
      <c r="X77" s="29" t="s">
        <v>74</v>
      </c>
      <c r="Y77" s="149"/>
      <c r="Z77" s="149"/>
      <c r="AA77" s="149">
        <f>SUM(AA71:AA76)</f>
        <v>521.57349848619799</v>
      </c>
      <c r="AB77" s="149">
        <f>SUM(AB71:AB76)</f>
        <v>398.87269814356148</v>
      </c>
      <c r="AC77" s="149">
        <f>SUM(AC71:AC76)</f>
        <v>920.44619662975936</v>
      </c>
      <c r="AF77" s="29" t="s">
        <v>74</v>
      </c>
      <c r="AG77" s="149"/>
      <c r="AH77" s="149"/>
      <c r="AI77" s="149">
        <f>SUM(AI71:AI76)</f>
        <v>522.82753393892187</v>
      </c>
      <c r="AJ77" s="149">
        <f>SUM(AJ71:AJ76)</f>
        <v>398.89408403603335</v>
      </c>
      <c r="AK77" s="149">
        <f>SUM(AK71:AK76)</f>
        <v>921.72161797495505</v>
      </c>
    </row>
    <row r="78" spans="1:41" ht="14.25" customHeight="1">
      <c r="A78" s="29"/>
      <c r="C78" s="27"/>
      <c r="D78" s="80"/>
      <c r="E78" s="80"/>
      <c r="H78" s="27"/>
      <c r="I78" s="27"/>
      <c r="J78" s="27"/>
      <c r="K78" s="27"/>
      <c r="L78" s="27"/>
      <c r="M78" s="27"/>
      <c r="O78" s="148"/>
      <c r="V78" s="149"/>
      <c r="W78" s="149"/>
    </row>
    <row r="79" spans="1:41" s="32" customFormat="1" ht="14.25" customHeight="1">
      <c r="A79" s="256"/>
      <c r="B79" s="81"/>
      <c r="C79" s="33"/>
      <c r="D79" s="64"/>
      <c r="E79" s="64"/>
      <c r="H79" s="64" t="s">
        <v>24</v>
      </c>
      <c r="I79" s="64"/>
      <c r="J79" s="64"/>
      <c r="K79" s="64"/>
      <c r="L79" s="64"/>
      <c r="M79" s="64"/>
      <c r="O79" s="64"/>
      <c r="P79" s="64"/>
      <c r="Q79" s="64"/>
      <c r="R79" s="64"/>
      <c r="S79" s="64" t="s">
        <v>75</v>
      </c>
      <c r="T79" s="64"/>
      <c r="U79" s="151">
        <f>U77/M77</f>
        <v>1.2165507354885967</v>
      </c>
      <c r="V79" s="151"/>
      <c r="W79" s="151"/>
      <c r="X79" s="257"/>
      <c r="Y79" s="151"/>
      <c r="Z79" s="151"/>
      <c r="AA79" s="151" t="s">
        <v>75</v>
      </c>
      <c r="AB79" s="151"/>
      <c r="AC79" s="151">
        <f>AC77/M77</f>
        <v>1.0002759864948039</v>
      </c>
      <c r="AD79" s="151"/>
      <c r="AE79" s="151"/>
      <c r="AF79" s="257"/>
      <c r="AG79" s="151"/>
      <c r="AH79" s="151"/>
      <c r="AI79" s="151" t="s">
        <v>75</v>
      </c>
      <c r="AJ79" s="151"/>
      <c r="AK79" s="151">
        <f>AK77/M77</f>
        <v>1.0016620244282903</v>
      </c>
      <c r="AL79" s="151"/>
    </row>
    <row r="80" spans="1:41" ht="14.25" customHeight="1">
      <c r="A80" s="26"/>
      <c r="C80" s="27"/>
      <c r="D80" s="33"/>
      <c r="E80" s="27"/>
    </row>
    <row r="81" spans="1:41" ht="14.25" customHeight="1">
      <c r="A81" s="19" t="s">
        <v>79</v>
      </c>
      <c r="O81" s="150"/>
      <c r="P81" s="150"/>
      <c r="Q81" s="150"/>
      <c r="R81" s="150"/>
      <c r="AM81" s="417"/>
      <c r="AN81" s="417"/>
      <c r="AO81" s="417"/>
    </row>
    <row r="82" spans="1:41" ht="14.25" customHeight="1" thickBot="1">
      <c r="A82" s="74"/>
      <c r="C82" s="75"/>
      <c r="D82" s="23"/>
      <c r="E82" s="23"/>
      <c r="G82" s="23"/>
      <c r="H82" s="23"/>
      <c r="I82" s="23"/>
      <c r="J82" s="52" t="s">
        <v>76</v>
      </c>
      <c r="K82" s="52" t="s">
        <v>60</v>
      </c>
      <c r="L82" s="51" t="s">
        <v>61</v>
      </c>
      <c r="M82" s="52" t="s">
        <v>62</v>
      </c>
      <c r="O82" s="153"/>
      <c r="P82" s="23"/>
      <c r="Q82" s="23"/>
      <c r="R82" s="52" t="s">
        <v>59</v>
      </c>
      <c r="S82" s="52" t="s">
        <v>60</v>
      </c>
      <c r="T82" s="51" t="s">
        <v>61</v>
      </c>
      <c r="U82" s="52" t="s">
        <v>62</v>
      </c>
      <c r="V82" s="52"/>
      <c r="W82" s="52"/>
      <c r="X82" s="52"/>
      <c r="Y82" s="52"/>
      <c r="Z82" s="52" t="s">
        <v>59</v>
      </c>
      <c r="AA82" s="52" t="s">
        <v>60</v>
      </c>
      <c r="AB82" s="52" t="s">
        <v>61</v>
      </c>
      <c r="AC82" s="52" t="s">
        <v>62</v>
      </c>
      <c r="AD82" s="52"/>
      <c r="AE82" s="52"/>
      <c r="AF82" s="52"/>
      <c r="AG82" s="52"/>
      <c r="AH82" s="52" t="s">
        <v>59</v>
      </c>
      <c r="AI82" s="52" t="s">
        <v>60</v>
      </c>
      <c r="AJ82" s="52" t="s">
        <v>61</v>
      </c>
      <c r="AK82" s="52" t="s">
        <v>62</v>
      </c>
      <c r="AL82" s="52"/>
      <c r="AM82" s="196"/>
      <c r="AN82" s="196"/>
      <c r="AO82" s="196"/>
    </row>
    <row r="83" spans="1:41" ht="14.25" customHeight="1" thickTop="1" thickBot="1">
      <c r="A83" s="70" t="s">
        <v>63</v>
      </c>
      <c r="B83" s="66" t="s">
        <v>8</v>
      </c>
      <c r="C83" s="25"/>
      <c r="D83" s="76">
        <f>+D53</f>
        <v>2400</v>
      </c>
      <c r="E83" s="77"/>
      <c r="G83" s="77"/>
      <c r="H83" s="70"/>
      <c r="I83" s="66"/>
      <c r="J83" s="77"/>
      <c r="K83" s="77"/>
      <c r="L83" s="77"/>
      <c r="M83" s="77"/>
      <c r="P83" s="70"/>
      <c r="X83" s="150"/>
      <c r="AF83" s="150"/>
      <c r="AM83" s="347"/>
      <c r="AN83" s="53"/>
      <c r="AO83" s="53"/>
    </row>
    <row r="84" spans="1:41" ht="14.25" customHeight="1" thickBot="1">
      <c r="A84" s="67" t="s">
        <v>64</v>
      </c>
      <c r="D84" s="78">
        <f>(D83/365)/('Load Factor'!$B$14+2*'Load Factor'!$B$18)</f>
        <v>16.041569057843905</v>
      </c>
      <c r="E84" s="79"/>
      <c r="G84" s="79"/>
      <c r="H84" s="67"/>
      <c r="I84" s="66"/>
      <c r="J84" s="79"/>
      <c r="K84" s="79"/>
      <c r="L84" s="79"/>
      <c r="M84" s="79"/>
      <c r="P84" s="67"/>
      <c r="X84" s="150"/>
      <c r="AF84" s="150"/>
    </row>
    <row r="85" spans="1:41" ht="14.25" customHeight="1">
      <c r="A85" s="161" t="s">
        <v>41</v>
      </c>
      <c r="B85" s="254">
        <v>360</v>
      </c>
      <c r="C85" s="27"/>
      <c r="D85" s="27"/>
      <c r="E85" s="27"/>
      <c r="G85" s="27"/>
      <c r="H85" s="26" t="s">
        <v>65</v>
      </c>
      <c r="I85" s="66" t="s">
        <v>11</v>
      </c>
      <c r="J85" s="27">
        <f>$J$4</f>
        <v>24.72</v>
      </c>
      <c r="K85" s="27">
        <f>J85*12</f>
        <v>296.64</v>
      </c>
      <c r="L85" s="27">
        <f>$K$4*12</f>
        <v>0</v>
      </c>
      <c r="M85" s="27">
        <f>SUM(K85:L85)</f>
        <v>296.64</v>
      </c>
      <c r="P85" s="26" t="s">
        <v>66</v>
      </c>
      <c r="R85" s="178">
        <f>$Q$5</f>
        <v>29.097610156886343</v>
      </c>
      <c r="S85" s="178">
        <f>R85*12</f>
        <v>349.17132188263611</v>
      </c>
      <c r="T85" s="178">
        <f>$R$5*12</f>
        <v>0</v>
      </c>
      <c r="U85" s="178">
        <f>SUM(S85:T85)</f>
        <v>349.17132188263611</v>
      </c>
      <c r="V85" s="178"/>
      <c r="W85" s="178"/>
      <c r="X85" s="178" t="s">
        <v>66</v>
      </c>
      <c r="Y85" s="178"/>
      <c r="Z85" s="178"/>
      <c r="AA85" s="178">
        <f>$Y$5*12</f>
        <v>520.27803420035798</v>
      </c>
      <c r="AB85" s="178">
        <f>$Z$5*12</f>
        <v>2.9179954545121554</v>
      </c>
      <c r="AC85" s="148">
        <f>SUM(AA85:AB85)</f>
        <v>523.19602965487013</v>
      </c>
      <c r="AD85" s="148"/>
      <c r="AE85" s="148"/>
      <c r="AF85" s="178" t="s">
        <v>66</v>
      </c>
      <c r="AG85" s="178"/>
      <c r="AH85" s="178">
        <f>$AG$5</f>
        <v>29.097610156886343</v>
      </c>
      <c r="AI85" s="178">
        <f>AH85*12</f>
        <v>349.17132188263611</v>
      </c>
      <c r="AJ85" s="178">
        <f>$AH$5*12</f>
        <v>0</v>
      </c>
      <c r="AK85" s="148">
        <f>SUM(AI85:AJ85)</f>
        <v>349.17132188263611</v>
      </c>
      <c r="AL85" s="148"/>
    </row>
    <row r="86" spans="1:41" ht="14.25" customHeight="1">
      <c r="A86" s="161" t="s">
        <v>43</v>
      </c>
      <c r="B86" s="254">
        <v>552</v>
      </c>
      <c r="C86" s="27"/>
      <c r="D86" s="27"/>
      <c r="E86" s="27"/>
      <c r="G86" s="27"/>
      <c r="H86" s="26"/>
      <c r="I86" s="66"/>
      <c r="J86" s="27"/>
      <c r="K86" s="27"/>
      <c r="L86" s="27"/>
      <c r="M86" s="27"/>
      <c r="P86" s="26" t="s">
        <v>67</v>
      </c>
      <c r="R86" s="178"/>
      <c r="S86" s="178">
        <f>$Q$6*D84*12</f>
        <v>116.23258588089834</v>
      </c>
      <c r="T86" s="178">
        <f>$R$6*D84*12</f>
        <v>1.9821908367736605</v>
      </c>
      <c r="U86" s="178">
        <f>SUM(S86:T86)</f>
        <v>118.214776717672</v>
      </c>
      <c r="V86" s="178"/>
      <c r="W86" s="178"/>
      <c r="X86" s="178"/>
      <c r="Y86" s="178"/>
      <c r="Z86" s="178"/>
      <c r="AA86" s="178"/>
      <c r="AB86" s="178"/>
      <c r="AC86" s="148"/>
      <c r="AD86" s="148"/>
      <c r="AE86" s="148"/>
      <c r="AF86" s="178"/>
      <c r="AG86" s="178"/>
      <c r="AH86" s="178"/>
      <c r="AI86" s="178"/>
      <c r="AJ86" s="178"/>
      <c r="AK86" s="148"/>
      <c r="AL86" s="148"/>
    </row>
    <row r="87" spans="1:41" ht="14.25" customHeight="1">
      <c r="A87" s="161" t="s">
        <v>45</v>
      </c>
      <c r="B87" s="254">
        <v>589</v>
      </c>
      <c r="C87" s="27"/>
      <c r="D87" s="27"/>
      <c r="E87" s="27"/>
      <c r="G87" s="27"/>
      <c r="H87" s="26" t="s">
        <v>68</v>
      </c>
      <c r="I87" s="66" t="s">
        <v>11</v>
      </c>
      <c r="J87" s="27"/>
      <c r="K87" s="27">
        <f>SUMPRODUCT($J$6:$J$9,B85:B88)</f>
        <v>192.76645702442198</v>
      </c>
      <c r="L87" s="27">
        <f>SUMPRODUCT($K$6:$K$9,B85:B88)</f>
        <v>22.046578975578043</v>
      </c>
      <c r="M87" s="27">
        <f>SUM(K87:L87)</f>
        <v>214.81303600000001</v>
      </c>
      <c r="P87" s="26" t="s">
        <v>69</v>
      </c>
      <c r="R87" s="178"/>
      <c r="S87" s="178">
        <f>$Q$7*D83</f>
        <v>0</v>
      </c>
      <c r="T87" s="178">
        <f>$R$7*D83</f>
        <v>9.4043029905079472</v>
      </c>
      <c r="U87" s="178">
        <f>SUM(S87+T87)</f>
        <v>9.4043029905079472</v>
      </c>
      <c r="V87" s="178"/>
      <c r="W87" s="178"/>
      <c r="X87" s="178" t="s">
        <v>69</v>
      </c>
      <c r="Y87" s="178"/>
      <c r="Z87" s="178"/>
      <c r="AA87" s="178">
        <f>$Y$7*D83</f>
        <v>0</v>
      </c>
      <c r="AB87" s="178">
        <f>$Z$7*D83</f>
        <v>9.4043029905079472</v>
      </c>
      <c r="AC87" s="148">
        <f>SUM(AA87:AB87)</f>
        <v>9.4043029905079472</v>
      </c>
      <c r="AD87" s="148"/>
      <c r="AE87" s="148"/>
      <c r="AF87" s="178" t="s">
        <v>69</v>
      </c>
      <c r="AG87" s="178"/>
      <c r="AH87" s="178"/>
      <c r="AI87" s="178">
        <f>$AG$7*D83</f>
        <v>172.3607477704457</v>
      </c>
      <c r="AJ87" s="178">
        <f>$AH$7*D83</f>
        <v>12.34368433749199</v>
      </c>
      <c r="AK87" s="148">
        <f>SUM(AI87:AJ87)</f>
        <v>184.70443210793769</v>
      </c>
      <c r="AL87" s="148"/>
    </row>
    <row r="88" spans="1:41" ht="14.25" customHeight="1">
      <c r="A88" s="161" t="s">
        <v>47</v>
      </c>
      <c r="B88" s="255">
        <v>899</v>
      </c>
      <c r="C88" s="27"/>
      <c r="D88" s="27"/>
      <c r="E88" s="27"/>
      <c r="G88" s="27"/>
      <c r="H88" s="26" t="s">
        <v>70</v>
      </c>
      <c r="I88" s="66" t="s">
        <v>11</v>
      </c>
      <c r="J88" s="27"/>
      <c r="K88" s="27">
        <f>$J$10*D83</f>
        <v>14.982595684822343</v>
      </c>
      <c r="L88" s="27">
        <f>$K$10*D83</f>
        <v>25.039804315177655</v>
      </c>
      <c r="M88" s="27">
        <f>SUM(K88:L88)</f>
        <v>40.022399999999998</v>
      </c>
      <c r="P88" s="26"/>
      <c r="R88" s="62"/>
      <c r="S88" s="62"/>
      <c r="T88" s="62"/>
      <c r="U88" s="178"/>
      <c r="V88" s="178"/>
      <c r="W88" s="178"/>
      <c r="X88" s="178"/>
      <c r="Y88" s="178"/>
      <c r="Z88" s="178"/>
      <c r="AA88" s="178"/>
      <c r="AB88" s="178"/>
      <c r="AC88" s="148"/>
      <c r="AD88" s="148"/>
      <c r="AE88" s="148"/>
      <c r="AF88" s="178"/>
      <c r="AG88" s="178"/>
      <c r="AH88" s="178"/>
      <c r="AI88" s="178"/>
      <c r="AJ88" s="178"/>
      <c r="AK88" s="148"/>
      <c r="AL88" s="148"/>
    </row>
    <row r="89" spans="1:41" ht="14.25" customHeight="1">
      <c r="A89" s="26"/>
      <c r="C89" s="27"/>
      <c r="D89" s="33"/>
      <c r="E89" s="27"/>
      <c r="G89" s="27"/>
      <c r="H89" s="26" t="s">
        <v>71</v>
      </c>
      <c r="I89" s="66" t="s">
        <v>11</v>
      </c>
      <c r="J89" s="27"/>
      <c r="K89" s="27">
        <f>$J$11*D83</f>
        <v>1.8549853330013093</v>
      </c>
      <c r="L89" s="27">
        <f>$K$11*D83</f>
        <v>115.27941466699869</v>
      </c>
      <c r="M89" s="27">
        <f>SUM(K89:L89)</f>
        <v>117.1344</v>
      </c>
      <c r="P89" s="26" t="s">
        <v>71</v>
      </c>
      <c r="R89" s="178"/>
      <c r="S89" s="178">
        <f>$Q$8*D83</f>
        <v>-2.0759765172567022</v>
      </c>
      <c r="T89" s="178">
        <f>$R$8*D83</f>
        <v>44.277266080047028</v>
      </c>
      <c r="U89" s="178">
        <f>SUM(S89:T89)</f>
        <v>42.201289562790322</v>
      </c>
      <c r="V89" s="178"/>
      <c r="W89" s="178"/>
      <c r="X89" s="178" t="s">
        <v>71</v>
      </c>
      <c r="Y89" s="178"/>
      <c r="Z89" s="178"/>
      <c r="AA89" s="178">
        <f>$Y$8*D83</f>
        <v>-2.0759765172567022</v>
      </c>
      <c r="AB89" s="178">
        <f>$Z$8*D83</f>
        <v>44.277266080047028</v>
      </c>
      <c r="AC89" s="148">
        <f>SUM(AA89:AB89)</f>
        <v>42.201289562790322</v>
      </c>
      <c r="AD89" s="154"/>
      <c r="AE89" s="154"/>
      <c r="AF89" s="178" t="s">
        <v>71</v>
      </c>
      <c r="AG89" s="178"/>
      <c r="AH89" s="178"/>
      <c r="AI89" s="178">
        <f>$AG$8*D83</f>
        <v>-2.0759765172567022</v>
      </c>
      <c r="AJ89" s="178">
        <f>$AH$8*D83</f>
        <v>44.277266080047028</v>
      </c>
      <c r="AK89" s="148">
        <f>SUM(AI89:AJ89)</f>
        <v>42.201289562790322</v>
      </c>
      <c r="AL89" s="154"/>
    </row>
    <row r="90" spans="1:41" ht="14.25" customHeight="1">
      <c r="A90" s="29"/>
      <c r="C90" s="27"/>
      <c r="D90" s="80"/>
      <c r="E90" s="80"/>
      <c r="G90" s="80"/>
      <c r="H90" s="26" t="s">
        <v>72</v>
      </c>
      <c r="I90" s="66" t="s">
        <v>11</v>
      </c>
      <c r="J90" s="27"/>
      <c r="K90" s="27">
        <f>$J$15*D83</f>
        <v>2.0245359665940299</v>
      </c>
      <c r="L90" s="27">
        <f>$K$15*D83</f>
        <v>249.55786403340596</v>
      </c>
      <c r="M90" s="27">
        <f>SUM(K90:L90)</f>
        <v>251.58240000000001</v>
      </c>
      <c r="O90" s="150"/>
      <c r="P90" s="26" t="s">
        <v>73</v>
      </c>
      <c r="R90" s="253"/>
      <c r="S90" s="253">
        <f>$Q$9*D83</f>
        <v>3.3714408030966196</v>
      </c>
      <c r="T90" s="253">
        <f>$R$9*D83</f>
        <v>342.27313361849434</v>
      </c>
      <c r="U90" s="253">
        <f>SUM(S90:T90)</f>
        <v>345.64457442159096</v>
      </c>
      <c r="V90" s="253"/>
      <c r="W90" s="253"/>
      <c r="X90" s="253" t="s">
        <v>73</v>
      </c>
      <c r="Y90" s="253"/>
      <c r="Z90" s="253"/>
      <c r="AA90" s="253">
        <f>$Y$9*D83</f>
        <v>3.3714408030966196</v>
      </c>
      <c r="AB90" s="253">
        <f>$Z$9*D83</f>
        <v>342.27313361849434</v>
      </c>
      <c r="AC90" s="154">
        <f>SUM(AA90:AB90)</f>
        <v>345.64457442159096</v>
      </c>
      <c r="AD90" s="149"/>
      <c r="AE90" s="149"/>
      <c r="AF90" s="253" t="s">
        <v>73</v>
      </c>
      <c r="AG90" s="253"/>
      <c r="AH90" s="253"/>
      <c r="AI90" s="253">
        <f>$AG$9*D83</f>
        <v>3.3714408030966196</v>
      </c>
      <c r="AJ90" s="253">
        <f>$AH$9*D83</f>
        <v>342.27313361849434</v>
      </c>
      <c r="AK90" s="154">
        <f>SUM(AI90:AJ90)</f>
        <v>345.64457442159096</v>
      </c>
      <c r="AL90" s="149"/>
    </row>
    <row r="91" spans="1:41" ht="14.25" customHeight="1">
      <c r="A91" s="29"/>
      <c r="C91" s="27"/>
      <c r="D91" s="80"/>
      <c r="E91" s="80"/>
      <c r="H91" s="29" t="s">
        <v>74</v>
      </c>
      <c r="I91" s="66" t="s">
        <v>11</v>
      </c>
      <c r="J91" s="80"/>
      <c r="K91" s="80">
        <f>SUM(K85:K90)</f>
        <v>508.26857400883966</v>
      </c>
      <c r="L91" s="80">
        <f>SUM(L85:L90)</f>
        <v>411.92366199116032</v>
      </c>
      <c r="M91" s="80">
        <f>SUM(M85:M90)</f>
        <v>920.19223599999998</v>
      </c>
      <c r="O91" s="154"/>
      <c r="P91" s="29" t="s">
        <v>74</v>
      </c>
      <c r="R91" s="149"/>
      <c r="S91" s="80">
        <f>SUM(S85:S90)</f>
        <v>466.69937204937435</v>
      </c>
      <c r="T91" s="149">
        <f>SUM(T85:T90)</f>
        <v>397.936893525823</v>
      </c>
      <c r="U91" s="149">
        <f>SUM(U85:U90)</f>
        <v>864.6362655751974</v>
      </c>
      <c r="V91" s="149"/>
      <c r="W91" s="149"/>
      <c r="X91" s="29" t="s">
        <v>74</v>
      </c>
      <c r="Y91" s="149"/>
      <c r="Z91" s="149"/>
      <c r="AA91" s="149">
        <f>SUM(AA85:AA90)</f>
        <v>521.57349848619799</v>
      </c>
      <c r="AB91" s="149">
        <f>SUM(AB85:AB90)</f>
        <v>398.87269814356148</v>
      </c>
      <c r="AC91" s="149">
        <f>SUM(AC85:AC90)</f>
        <v>920.44619662975936</v>
      </c>
      <c r="AF91" s="29" t="s">
        <v>74</v>
      </c>
      <c r="AG91" s="149"/>
      <c r="AH91" s="149"/>
      <c r="AI91" s="149">
        <f>SUM(AI85:AI90)</f>
        <v>522.82753393892187</v>
      </c>
      <c r="AJ91" s="149">
        <f>SUM(AJ85:AJ90)</f>
        <v>398.89408403603335</v>
      </c>
      <c r="AK91" s="149">
        <f>SUM(AK85:AK90)</f>
        <v>921.72161797495505</v>
      </c>
    </row>
    <row r="92" spans="1:41" ht="14.25" customHeight="1">
      <c r="A92" s="29"/>
      <c r="C92" s="27"/>
      <c r="D92" s="80"/>
      <c r="E92" s="80"/>
      <c r="H92" s="27"/>
      <c r="I92" s="27"/>
      <c r="J92" s="27"/>
      <c r="K92" s="27"/>
      <c r="L92" s="27"/>
      <c r="M92" s="27"/>
      <c r="O92" s="154"/>
      <c r="V92" s="149"/>
      <c r="W92" s="149"/>
    </row>
    <row r="93" spans="1:41" s="32" customFormat="1" ht="14.25" customHeight="1">
      <c r="B93" s="81"/>
      <c r="H93" s="64" t="s">
        <v>24</v>
      </c>
      <c r="I93" s="64"/>
      <c r="J93" s="64"/>
      <c r="K93" s="64"/>
      <c r="L93" s="64"/>
      <c r="M93" s="64"/>
      <c r="O93" s="64"/>
      <c r="P93" s="64"/>
      <c r="Q93" s="64"/>
      <c r="R93" s="64"/>
      <c r="S93" s="64" t="s">
        <v>75</v>
      </c>
      <c r="T93" s="64"/>
      <c r="U93" s="151">
        <f>U91/M91</f>
        <v>0.93962569096833526</v>
      </c>
      <c r="V93" s="151"/>
      <c r="W93" s="151"/>
      <c r="X93" s="257"/>
      <c r="Y93" s="151"/>
      <c r="Z93" s="151"/>
      <c r="AA93" s="151" t="s">
        <v>75</v>
      </c>
      <c r="AB93" s="151"/>
      <c r="AC93" s="151">
        <f>AC91/M91</f>
        <v>1.0002759864948039</v>
      </c>
      <c r="AD93" s="151"/>
      <c r="AE93" s="151"/>
      <c r="AF93" s="257"/>
      <c r="AG93" s="151"/>
      <c r="AH93" s="151"/>
      <c r="AI93" s="151" t="s">
        <v>75</v>
      </c>
      <c r="AJ93" s="151"/>
      <c r="AK93" s="151">
        <f>AK91/M91</f>
        <v>1.0016620244282903</v>
      </c>
      <c r="AL93" s="151"/>
    </row>
  </sheetData>
  <mergeCells count="21">
    <mergeCell ref="H22:M22"/>
    <mergeCell ref="O22:U22"/>
    <mergeCell ref="W22:AC22"/>
    <mergeCell ref="AE22:AK22"/>
    <mergeCell ref="AF12:AI12"/>
    <mergeCell ref="O67:R67"/>
    <mergeCell ref="AM66:AO66"/>
    <mergeCell ref="AM81:AO81"/>
    <mergeCell ref="A1:S1"/>
    <mergeCell ref="O66:U66"/>
    <mergeCell ref="H2:L2"/>
    <mergeCell ref="P2:S2"/>
    <mergeCell ref="P3:S3"/>
    <mergeCell ref="P12:S12"/>
    <mergeCell ref="AM22:AO22"/>
    <mergeCell ref="AM36:AO36"/>
    <mergeCell ref="AM50:AO50"/>
    <mergeCell ref="X2:AA2"/>
    <mergeCell ref="AF2:AI2"/>
    <mergeCell ref="X3:AA3"/>
    <mergeCell ref="X12:AA12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C7BC-BE55-40B8-8AF2-0217D1EFA693}">
  <sheetPr codeName="Sheet7">
    <tabColor theme="7"/>
  </sheetPr>
  <dimension ref="A1:AP50"/>
  <sheetViews>
    <sheetView zoomScale="80" zoomScaleNormal="80" workbookViewId="0">
      <pane xSplit="5" ySplit="22" topLeftCell="F38" activePane="bottomRight" state="frozen"/>
      <selection pane="topRight" activeCell="F1" sqref="F1"/>
      <selection pane="bottomLeft" activeCell="A23" sqref="A23"/>
      <selection pane="bottomRight" activeCell="F22" sqref="F22:AK22"/>
    </sheetView>
  </sheetViews>
  <sheetFormatPr defaultColWidth="9.140625" defaultRowHeight="15"/>
  <cols>
    <col min="1" max="1" width="27.42578125" bestFit="1" customWidth="1"/>
    <col min="2" max="2" width="3.42578125" customWidth="1"/>
    <col min="3" max="3" width="12.42578125" bestFit="1" customWidth="1"/>
    <col min="4" max="4" width="4.42578125" customWidth="1"/>
    <col min="5" max="5" width="12.42578125" customWidth="1"/>
    <col min="6" max="7" width="4.7109375" customWidth="1"/>
    <col min="8" max="8" width="26.140625" customWidth="1"/>
    <col min="9" max="9" width="3.7109375" bestFit="1" customWidth="1"/>
    <col min="10" max="10" width="11.42578125" customWidth="1"/>
    <col min="11" max="11" width="13.42578125" customWidth="1"/>
    <col min="12" max="12" width="11.140625" bestFit="1" customWidth="1"/>
    <col min="13" max="13" width="11.85546875" customWidth="1"/>
    <col min="14" max="14" width="4.7109375" customWidth="1"/>
    <col min="15" max="15" width="8.42578125" customWidth="1"/>
    <col min="16" max="16" width="29.85546875" customWidth="1"/>
    <col min="17" max="17" width="10.42578125" customWidth="1"/>
    <col min="18" max="18" width="10.42578125" bestFit="1" customWidth="1"/>
    <col min="19" max="19" width="12.140625" customWidth="1"/>
    <col min="20" max="21" width="11.7109375" bestFit="1" customWidth="1"/>
    <col min="22" max="22" width="5.85546875" customWidth="1"/>
    <col min="23" max="23" width="8.42578125" customWidth="1"/>
    <col min="24" max="24" width="30.28515625" customWidth="1"/>
    <col min="25" max="25" width="11.28515625" customWidth="1"/>
    <col min="26" max="26" width="10.42578125" bestFit="1" customWidth="1"/>
    <col min="27" max="27" width="13.28515625" customWidth="1"/>
    <col min="28" max="29" width="11.7109375" bestFit="1" customWidth="1"/>
    <col min="30" max="30" width="5.85546875" customWidth="1"/>
    <col min="31" max="31" width="8.42578125" customWidth="1"/>
    <col min="32" max="32" width="28.42578125" customWidth="1"/>
    <col min="33" max="33" width="14" customWidth="1"/>
    <col min="34" max="34" width="10.42578125" bestFit="1" customWidth="1"/>
    <col min="35" max="35" width="12" customWidth="1"/>
    <col min="36" max="37" width="11.7109375" bestFit="1" customWidth="1"/>
    <col min="38" max="38" width="0.85546875" customWidth="1"/>
    <col min="39" max="39" width="17.42578125" customWidth="1"/>
    <col min="40" max="40" width="16.140625" customWidth="1"/>
    <col min="41" max="42" width="16.28515625" customWidth="1"/>
  </cols>
  <sheetData>
    <row r="1" spans="1:36" s="220" customFormat="1" ht="24" customHeight="1">
      <c r="A1" s="418" t="s">
        <v>80</v>
      </c>
      <c r="B1" s="419"/>
      <c r="C1" s="419"/>
      <c r="D1" s="419"/>
      <c r="E1" s="419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Z1" s="266"/>
      <c r="AH1" s="266"/>
      <c r="AI1" s="266"/>
    </row>
    <row r="2" spans="1:36" ht="14.25" customHeight="1">
      <c r="A2" s="179"/>
      <c r="B2" s="22"/>
      <c r="C2" s="22"/>
      <c r="D2" s="22"/>
      <c r="E2" s="22"/>
      <c r="F2" s="22"/>
      <c r="G2" s="22"/>
      <c r="H2" s="422" t="s">
        <v>33</v>
      </c>
      <c r="I2" s="423"/>
      <c r="J2" s="423"/>
      <c r="K2" s="423"/>
      <c r="L2" s="424"/>
      <c r="M2" s="22"/>
      <c r="N2" s="22"/>
      <c r="P2" s="433" t="s">
        <v>34</v>
      </c>
      <c r="Q2" s="434"/>
      <c r="R2" s="434"/>
      <c r="S2" s="435"/>
      <c r="T2" s="167"/>
      <c r="X2" s="433" t="s">
        <v>35</v>
      </c>
      <c r="Y2" s="434"/>
      <c r="Z2" s="434"/>
      <c r="AA2" s="435"/>
      <c r="AF2" s="433" t="s">
        <v>36</v>
      </c>
      <c r="AG2" s="434"/>
      <c r="AH2" s="434"/>
      <c r="AI2" s="435"/>
      <c r="AJ2" s="188"/>
    </row>
    <row r="3" spans="1:36" ht="14.25" customHeight="1">
      <c r="A3" s="179"/>
      <c r="B3" s="22"/>
      <c r="C3" s="22"/>
      <c r="D3" s="22"/>
      <c r="E3" s="22"/>
      <c r="F3" s="22"/>
      <c r="G3" s="22"/>
      <c r="H3" s="341"/>
      <c r="I3" s="214"/>
      <c r="J3" s="211" t="s">
        <v>12</v>
      </c>
      <c r="K3" s="211" t="s">
        <v>37</v>
      </c>
      <c r="L3" s="212" t="s">
        <v>16</v>
      </c>
      <c r="M3" s="22"/>
      <c r="N3" s="22"/>
      <c r="P3" s="430" t="s">
        <v>38</v>
      </c>
      <c r="Q3" s="431"/>
      <c r="R3" s="431"/>
      <c r="S3" s="432"/>
      <c r="X3" s="430" t="s">
        <v>38</v>
      </c>
      <c r="Y3" s="431"/>
      <c r="Z3" s="431"/>
      <c r="AA3" s="432"/>
      <c r="AF3" s="425" t="s">
        <v>38</v>
      </c>
      <c r="AG3" s="426"/>
      <c r="AH3" s="426"/>
      <c r="AI3" s="427"/>
    </row>
    <row r="4" spans="1:36" ht="14.25" customHeight="1">
      <c r="A4" s="179"/>
      <c r="B4" s="22"/>
      <c r="C4" s="22"/>
      <c r="D4" s="22"/>
      <c r="E4" s="22"/>
      <c r="F4" s="22"/>
      <c r="G4" s="22"/>
      <c r="H4" s="188" t="s">
        <v>39</v>
      </c>
      <c r="I4" s="43"/>
      <c r="J4" s="302">
        <v>78.64</v>
      </c>
      <c r="K4" s="302">
        <v>0</v>
      </c>
      <c r="L4" s="304">
        <v>78.64</v>
      </c>
      <c r="M4" s="22"/>
      <c r="N4" s="22"/>
      <c r="P4" s="331"/>
      <c r="Q4" s="335" t="s">
        <v>12</v>
      </c>
      <c r="R4" s="335" t="s">
        <v>37</v>
      </c>
      <c r="S4" s="336" t="s">
        <v>16</v>
      </c>
      <c r="X4" s="338"/>
      <c r="Y4" s="339" t="s">
        <v>12</v>
      </c>
      <c r="Z4" s="339" t="s">
        <v>37</v>
      </c>
      <c r="AA4" s="340" t="s">
        <v>16</v>
      </c>
      <c r="AF4" s="332"/>
      <c r="AG4" s="333" t="s">
        <v>12</v>
      </c>
      <c r="AH4" s="333" t="s">
        <v>37</v>
      </c>
      <c r="AI4" s="336" t="s">
        <v>16</v>
      </c>
    </row>
    <row r="5" spans="1:36" ht="14.25" customHeight="1">
      <c r="A5" s="179"/>
      <c r="B5" s="22"/>
      <c r="C5" s="22"/>
      <c r="D5" s="22"/>
      <c r="E5" s="22"/>
      <c r="F5" s="22"/>
      <c r="G5" s="22"/>
      <c r="H5" s="188" t="s">
        <v>40</v>
      </c>
      <c r="I5" s="43"/>
      <c r="J5" s="43"/>
      <c r="K5" s="43"/>
      <c r="L5" s="306"/>
      <c r="M5" s="22"/>
      <c r="N5" s="22"/>
      <c r="P5" s="308" t="s">
        <v>39</v>
      </c>
      <c r="Q5" s="312">
        <v>29.097610156886343</v>
      </c>
      <c r="R5" s="312">
        <v>0</v>
      </c>
      <c r="S5" s="313">
        <v>29.097610156886343</v>
      </c>
      <c r="X5" s="308" t="s">
        <v>39</v>
      </c>
      <c r="Y5" s="302">
        <v>43.356502850029834</v>
      </c>
      <c r="Z5" s="302">
        <v>0.24316628787601294</v>
      </c>
      <c r="AA5" s="304">
        <v>43.599669137905842</v>
      </c>
      <c r="AF5" s="308" t="s">
        <v>39</v>
      </c>
      <c r="AG5" s="302">
        <v>29.097610156886343</v>
      </c>
      <c r="AH5" s="302">
        <v>0</v>
      </c>
      <c r="AI5" s="304">
        <v>29.097610156886343</v>
      </c>
    </row>
    <row r="6" spans="1:36" ht="14.25" customHeight="1">
      <c r="A6" s="179"/>
      <c r="B6" s="22"/>
      <c r="C6" s="22"/>
      <c r="D6" s="22"/>
      <c r="E6" s="22"/>
      <c r="F6" s="22"/>
      <c r="G6" s="22"/>
      <c r="H6" s="190" t="s">
        <v>81</v>
      </c>
      <c r="I6" s="43"/>
      <c r="J6" s="303">
        <v>9.4430180489361887E-2</v>
      </c>
      <c r="K6" s="303">
        <v>7.467819510638107E-3</v>
      </c>
      <c r="L6" s="305">
        <v>0.101898</v>
      </c>
      <c r="M6" s="22"/>
      <c r="N6" s="22"/>
      <c r="P6" s="308" t="s">
        <v>42</v>
      </c>
      <c r="Q6" s="314">
        <v>0.60380931494179313</v>
      </c>
      <c r="R6" s="314">
        <v>1.0297157911143889E-2</v>
      </c>
      <c r="S6" s="315">
        <v>0.61410647285293707</v>
      </c>
      <c r="X6" s="308" t="s">
        <v>42</v>
      </c>
      <c r="Y6" s="303">
        <v>0</v>
      </c>
      <c r="Z6" s="303">
        <v>0</v>
      </c>
      <c r="AA6" s="305">
        <v>0</v>
      </c>
      <c r="AF6" s="308" t="s">
        <v>42</v>
      </c>
      <c r="AG6" s="303">
        <v>0</v>
      </c>
      <c r="AH6" s="303">
        <v>0</v>
      </c>
      <c r="AI6" s="305">
        <v>0</v>
      </c>
    </row>
    <row r="7" spans="1:36" ht="14.25" customHeight="1">
      <c r="A7" s="179"/>
      <c r="B7" s="22"/>
      <c r="C7" s="22"/>
      <c r="D7" s="22"/>
      <c r="E7" s="22"/>
      <c r="F7" s="22"/>
      <c r="G7" s="22"/>
      <c r="H7" s="190" t="s">
        <v>82</v>
      </c>
      <c r="I7" s="43"/>
      <c r="J7" s="303">
        <v>7.0438008042009712E-2</v>
      </c>
      <c r="K7" s="303">
        <v>7.7509919579902822E-3</v>
      </c>
      <c r="L7" s="305">
        <v>7.8189000000000008E-2</v>
      </c>
      <c r="M7" s="22"/>
      <c r="N7" s="22"/>
      <c r="P7" s="308" t="s">
        <v>44</v>
      </c>
      <c r="Q7" s="314">
        <v>0</v>
      </c>
      <c r="R7" s="314">
        <v>3.918459579378311E-3</v>
      </c>
      <c r="S7" s="315">
        <v>3.918459579378311E-3</v>
      </c>
      <c r="X7" s="308" t="s">
        <v>44</v>
      </c>
      <c r="Y7" s="303">
        <v>0</v>
      </c>
      <c r="Z7" s="303">
        <v>3.918459579378311E-3</v>
      </c>
      <c r="AA7" s="305">
        <v>3.918459579378311E-3</v>
      </c>
      <c r="AF7" s="308" t="s">
        <v>44</v>
      </c>
      <c r="AG7" s="303">
        <v>7.1816978237685708E-2</v>
      </c>
      <c r="AH7" s="303">
        <v>5.1432018072883291E-3</v>
      </c>
      <c r="AI7" s="305">
        <v>7.6960180044974028E-2</v>
      </c>
    </row>
    <row r="8" spans="1:36" ht="14.25" customHeight="1">
      <c r="A8" s="179"/>
      <c r="B8" s="22"/>
      <c r="C8" s="22"/>
      <c r="D8" s="22"/>
      <c r="E8" s="22"/>
      <c r="F8" s="22"/>
      <c r="G8" s="22"/>
      <c r="H8" s="190" t="s">
        <v>83</v>
      </c>
      <c r="I8" s="43"/>
      <c r="J8" s="303">
        <v>5.3637511315306835E-2</v>
      </c>
      <c r="K8" s="303">
        <v>7.9484886846931651E-3</v>
      </c>
      <c r="L8" s="305">
        <v>6.1586000000000002E-2</v>
      </c>
      <c r="M8" s="22"/>
      <c r="N8" s="22"/>
      <c r="P8" s="308" t="s">
        <v>46</v>
      </c>
      <c r="Q8" s="314">
        <v>-8.6499021552362591E-4</v>
      </c>
      <c r="R8" s="314">
        <v>1.8448860866686262E-2</v>
      </c>
      <c r="S8" s="315">
        <v>1.7583870651162636E-2</v>
      </c>
      <c r="X8" s="308" t="s">
        <v>46</v>
      </c>
      <c r="Y8" s="303">
        <v>-8.6499021552362591E-4</v>
      </c>
      <c r="Z8" s="303">
        <v>1.8448860866686262E-2</v>
      </c>
      <c r="AA8" s="305">
        <v>1.7583870651162636E-2</v>
      </c>
      <c r="AF8" s="308" t="s">
        <v>46</v>
      </c>
      <c r="AG8" s="303">
        <v>-8.6499021552362591E-4</v>
      </c>
      <c r="AH8" s="303">
        <v>1.8448860866686262E-2</v>
      </c>
      <c r="AI8" s="305">
        <v>1.7583870651162636E-2</v>
      </c>
    </row>
    <row r="9" spans="1:36" ht="14.25" customHeight="1">
      <c r="A9" s="179"/>
      <c r="B9" s="22"/>
      <c r="C9" s="22"/>
      <c r="D9" s="22"/>
      <c r="E9" s="22"/>
      <c r="F9" s="22"/>
      <c r="G9" s="22"/>
      <c r="H9" s="190" t="s">
        <v>84</v>
      </c>
      <c r="I9" s="43"/>
      <c r="J9" s="303">
        <v>4.2842653864270677E-2</v>
      </c>
      <c r="K9" s="303">
        <v>8.0763461357293183E-3</v>
      </c>
      <c r="L9" s="305">
        <v>5.0918999999999999E-2</v>
      </c>
      <c r="M9" s="22"/>
      <c r="N9" s="22"/>
      <c r="O9" s="22"/>
      <c r="P9" s="308" t="s">
        <v>48</v>
      </c>
      <c r="Q9" s="314">
        <v>1.4047670012902582E-3</v>
      </c>
      <c r="R9" s="314">
        <v>0.14261380567437265</v>
      </c>
      <c r="S9" s="315">
        <v>0.1440185726756629</v>
      </c>
      <c r="W9" s="22"/>
      <c r="X9" s="308" t="s">
        <v>48</v>
      </c>
      <c r="Y9" s="303">
        <v>1.4047670012902582E-3</v>
      </c>
      <c r="Z9" s="303">
        <v>0.14261380567437265</v>
      </c>
      <c r="AA9" s="305">
        <v>0.1440185726756629</v>
      </c>
      <c r="AE9" s="297"/>
      <c r="AF9" s="308" t="s">
        <v>48</v>
      </c>
      <c r="AG9" s="303">
        <v>1.4047670012902582E-3</v>
      </c>
      <c r="AH9" s="303">
        <v>0.14261380567437265</v>
      </c>
      <c r="AI9" s="305">
        <v>0.1440185726756629</v>
      </c>
    </row>
    <row r="10" spans="1:36" ht="14.25" customHeight="1">
      <c r="A10" s="179"/>
      <c r="B10" s="22"/>
      <c r="C10" s="22"/>
      <c r="D10" s="22"/>
      <c r="E10" s="22"/>
      <c r="F10" s="22"/>
      <c r="G10" s="22"/>
      <c r="H10" s="190" t="s">
        <v>85</v>
      </c>
      <c r="I10" s="43"/>
      <c r="J10" s="303">
        <v>3.8046113079659674E-2</v>
      </c>
      <c r="K10" s="303">
        <v>8.1328869203403237E-3</v>
      </c>
      <c r="L10" s="305">
        <v>4.6178999999999998E-2</v>
      </c>
      <c r="M10" s="22"/>
      <c r="N10" s="22"/>
      <c r="O10" s="22"/>
      <c r="P10" s="191" t="s">
        <v>49</v>
      </c>
      <c r="Q10" s="320"/>
      <c r="R10" s="320"/>
      <c r="S10" s="316"/>
      <c r="W10" s="22"/>
      <c r="X10" s="191" t="s">
        <v>49</v>
      </c>
      <c r="Y10" s="303"/>
      <c r="Z10" s="303"/>
      <c r="AA10" s="307"/>
      <c r="AE10" s="297"/>
      <c r="AF10" s="322" t="s">
        <v>49</v>
      </c>
      <c r="AG10" s="318"/>
      <c r="AH10" s="318"/>
      <c r="AI10" s="307"/>
    </row>
    <row r="11" spans="1:36" ht="14.25" customHeight="1">
      <c r="A11" s="179"/>
      <c r="B11" s="22"/>
      <c r="C11" s="22"/>
      <c r="D11" s="22"/>
      <c r="E11" s="22"/>
      <c r="F11" s="22"/>
      <c r="G11" s="22"/>
      <c r="H11" s="190" t="s">
        <v>86</v>
      </c>
      <c r="I11" s="43"/>
      <c r="J11" s="303">
        <v>3.6841576221945775E-2</v>
      </c>
      <c r="K11" s="303">
        <v>8.1474237780542243E-3</v>
      </c>
      <c r="L11" s="305">
        <v>4.4989000000000001E-2</v>
      </c>
      <c r="M11" s="22"/>
      <c r="N11" s="22"/>
      <c r="O11" s="22"/>
      <c r="W11" s="22"/>
      <c r="Y11" s="199"/>
      <c r="Z11" s="199"/>
      <c r="AA11" s="199"/>
      <c r="AE11" s="22"/>
      <c r="AF11" s="199"/>
    </row>
    <row r="12" spans="1:36" ht="14.25" customHeight="1">
      <c r="A12" s="179"/>
      <c r="B12" s="22"/>
      <c r="C12" s="22"/>
      <c r="D12" s="22"/>
      <c r="E12" s="22"/>
      <c r="F12" s="22"/>
      <c r="G12" s="22"/>
      <c r="H12" s="188" t="s">
        <v>13</v>
      </c>
      <c r="I12" s="43"/>
      <c r="J12" s="303">
        <v>5.78765597256513E-3</v>
      </c>
      <c r="K12" s="303">
        <v>9.6533440274348698E-3</v>
      </c>
      <c r="L12" s="305">
        <v>1.5441E-2</v>
      </c>
      <c r="M12" s="22"/>
      <c r="N12" s="22"/>
      <c r="O12" s="22"/>
      <c r="P12" s="425" t="s">
        <v>52</v>
      </c>
      <c r="Q12" s="426"/>
      <c r="R12" s="426"/>
      <c r="S12" s="427"/>
      <c r="W12" s="22"/>
      <c r="X12" s="425" t="s">
        <v>52</v>
      </c>
      <c r="Y12" s="426"/>
      <c r="Z12" s="426"/>
      <c r="AA12" s="427"/>
      <c r="AE12" s="22"/>
      <c r="AF12" s="425" t="s">
        <v>52</v>
      </c>
      <c r="AG12" s="426"/>
      <c r="AH12" s="426"/>
      <c r="AI12" s="427"/>
    </row>
    <row r="13" spans="1:36" ht="14.25" customHeight="1">
      <c r="A13" s="179"/>
      <c r="B13" s="22"/>
      <c r="C13" s="22"/>
      <c r="D13" s="22"/>
      <c r="E13" s="22"/>
      <c r="F13" s="22"/>
      <c r="G13" s="22"/>
      <c r="H13" s="188" t="s">
        <v>50</v>
      </c>
      <c r="I13" s="43"/>
      <c r="J13" s="303">
        <v>7.7291032231536323E-4</v>
      </c>
      <c r="K13" s="303">
        <v>4.8033089677684639E-2</v>
      </c>
      <c r="L13" s="305">
        <v>4.8806000000000002E-2</v>
      </c>
      <c r="M13" s="22"/>
      <c r="N13" s="22"/>
      <c r="O13" s="22"/>
      <c r="P13" s="332"/>
      <c r="Q13" s="333" t="s">
        <v>12</v>
      </c>
      <c r="R13" s="333" t="s">
        <v>37</v>
      </c>
      <c r="S13" s="334" t="s">
        <v>16</v>
      </c>
      <c r="W13" s="22"/>
      <c r="X13" s="332"/>
      <c r="Y13" s="333" t="s">
        <v>12</v>
      </c>
      <c r="Z13" s="333" t="s">
        <v>37</v>
      </c>
      <c r="AA13" s="334" t="s">
        <v>16</v>
      </c>
      <c r="AE13" s="22"/>
      <c r="AF13" s="332"/>
      <c r="AG13" s="335" t="s">
        <v>12</v>
      </c>
      <c r="AH13" s="335" t="s">
        <v>37</v>
      </c>
      <c r="AI13" s="336" t="s">
        <v>16</v>
      </c>
    </row>
    <row r="14" spans="1:36" ht="14.25" customHeight="1">
      <c r="A14" s="179"/>
      <c r="B14" s="22"/>
      <c r="C14" s="22"/>
      <c r="D14" s="22"/>
      <c r="E14" s="22"/>
      <c r="F14" s="22"/>
      <c r="G14" s="22"/>
      <c r="H14" s="188" t="s">
        <v>51</v>
      </c>
      <c r="I14" s="43"/>
      <c r="J14" s="303"/>
      <c r="K14" s="303"/>
      <c r="L14" s="305"/>
      <c r="M14" s="22"/>
      <c r="N14" s="22"/>
      <c r="O14" s="22"/>
      <c r="P14" s="308" t="s">
        <v>39</v>
      </c>
      <c r="Q14" s="312">
        <v>29.097610156886343</v>
      </c>
      <c r="R14" s="302">
        <v>0</v>
      </c>
      <c r="S14" s="312">
        <v>29.097610156886343</v>
      </c>
      <c r="W14" s="22"/>
      <c r="X14" s="308" t="s">
        <v>39</v>
      </c>
      <c r="Y14" s="302">
        <v>501.89065855250084</v>
      </c>
      <c r="Z14" s="302">
        <v>7.7349531222224197</v>
      </c>
      <c r="AA14" s="304">
        <v>509.6256116747233</v>
      </c>
      <c r="AE14" s="22"/>
      <c r="AF14" s="308" t="s">
        <v>39</v>
      </c>
      <c r="AG14" s="302">
        <v>29.1</v>
      </c>
      <c r="AH14" s="302">
        <v>0</v>
      </c>
      <c r="AI14" s="304">
        <v>29.1</v>
      </c>
    </row>
    <row r="15" spans="1:36" ht="14.25" customHeight="1">
      <c r="A15" s="179"/>
      <c r="B15" s="22"/>
      <c r="C15" s="22"/>
      <c r="D15" s="22"/>
      <c r="E15" s="22"/>
      <c r="F15" s="22"/>
      <c r="G15" s="22"/>
      <c r="H15" s="188" t="s">
        <v>53</v>
      </c>
      <c r="I15" s="43"/>
      <c r="J15" s="303"/>
      <c r="K15" s="303"/>
      <c r="L15" s="305"/>
      <c r="M15" s="22"/>
      <c r="N15" s="22"/>
      <c r="O15" s="22"/>
      <c r="P15" s="308" t="s">
        <v>42</v>
      </c>
      <c r="Q15" s="303">
        <v>0.6249848683706285</v>
      </c>
      <c r="R15" s="303">
        <v>1.0224830240947344E-2</v>
      </c>
      <c r="S15" s="305">
        <v>0.63520969861157583</v>
      </c>
      <c r="W15" s="22"/>
      <c r="X15" s="308" t="s">
        <v>42</v>
      </c>
      <c r="Y15" s="303">
        <v>0</v>
      </c>
      <c r="Z15" s="303">
        <v>0</v>
      </c>
      <c r="AA15" s="305">
        <v>0</v>
      </c>
      <c r="AE15" s="22"/>
      <c r="AF15" s="308" t="s">
        <v>42</v>
      </c>
      <c r="AG15" s="303">
        <v>0</v>
      </c>
      <c r="AH15" s="303">
        <v>0</v>
      </c>
      <c r="AI15" s="305">
        <v>0</v>
      </c>
    </row>
    <row r="16" spans="1:36" ht="14.25" customHeight="1">
      <c r="A16" s="179"/>
      <c r="B16" s="22"/>
      <c r="C16" s="22"/>
      <c r="D16" s="22"/>
      <c r="E16" s="22"/>
      <c r="F16" s="22"/>
      <c r="G16" s="22"/>
      <c r="H16" s="188" t="s">
        <v>54</v>
      </c>
      <c r="I16" s="43"/>
      <c r="J16" s="303"/>
      <c r="K16" s="303"/>
      <c r="L16" s="305"/>
      <c r="M16" s="22"/>
      <c r="N16" s="22"/>
      <c r="O16" s="22"/>
      <c r="P16" s="308" t="s">
        <v>44</v>
      </c>
      <c r="Q16" s="303">
        <v>0</v>
      </c>
      <c r="R16" s="303">
        <v>3.8691587178757546E-3</v>
      </c>
      <c r="S16" s="305">
        <v>3.8691587178757546E-3</v>
      </c>
      <c r="W16" s="22"/>
      <c r="X16" s="308" t="s">
        <v>44</v>
      </c>
      <c r="Y16" s="303">
        <v>0</v>
      </c>
      <c r="Z16" s="303">
        <v>3.8691587178757546E-3</v>
      </c>
      <c r="AA16" s="305">
        <v>3.8691587178757546E-3</v>
      </c>
      <c r="AE16" s="22"/>
      <c r="AF16" s="308" t="s">
        <v>44</v>
      </c>
      <c r="AG16" s="303">
        <v>7.3483235816392656E-2</v>
      </c>
      <c r="AH16" s="303">
        <v>5.0713536025886255E-3</v>
      </c>
      <c r="AI16" s="305">
        <v>7.8554589418981288E-2</v>
      </c>
    </row>
    <row r="17" spans="1:42" ht="14.25" customHeight="1">
      <c r="A17" s="179"/>
      <c r="B17" s="22"/>
      <c r="C17" s="22"/>
      <c r="D17" s="22"/>
      <c r="E17" s="22"/>
      <c r="F17" s="22"/>
      <c r="G17" s="22"/>
      <c r="H17" s="188" t="s">
        <v>55</v>
      </c>
      <c r="I17" s="43"/>
      <c r="J17" s="303">
        <v>1.0826452230216254E-3</v>
      </c>
      <c r="K17" s="303">
        <v>0.10398235477697838</v>
      </c>
      <c r="L17" s="305">
        <v>0.10506500000000001</v>
      </c>
      <c r="M17" s="22"/>
      <c r="N17" s="22"/>
      <c r="O17" s="22"/>
      <c r="P17" s="308" t="s">
        <v>46</v>
      </c>
      <c r="Q17" s="303">
        <v>-8.2032059994183301E-4</v>
      </c>
      <c r="R17" s="303">
        <v>1.6631227319793405E-2</v>
      </c>
      <c r="S17" s="305">
        <v>1.5810906719851574E-2</v>
      </c>
      <c r="W17" s="22"/>
      <c r="X17" s="308" t="s">
        <v>46</v>
      </c>
      <c r="Y17" s="303">
        <v>-8.2032059994183301E-4</v>
      </c>
      <c r="Z17" s="303">
        <v>1.6631227319793405E-2</v>
      </c>
      <c r="AA17" s="305">
        <v>1.5810906719851574E-2</v>
      </c>
      <c r="AE17" s="22"/>
      <c r="AF17" s="308" t="s">
        <v>46</v>
      </c>
      <c r="AG17" s="303">
        <v>-8.2032059994183301E-4</v>
      </c>
      <c r="AH17" s="303">
        <v>1.6631227319793405E-2</v>
      </c>
      <c r="AI17" s="305">
        <v>1.5810906719851574E-2</v>
      </c>
    </row>
    <row r="18" spans="1:42" ht="14.25" customHeight="1">
      <c r="A18" s="179"/>
      <c r="B18" s="22"/>
      <c r="C18" s="22"/>
      <c r="D18" s="22"/>
      <c r="E18" s="22"/>
      <c r="F18" s="22"/>
      <c r="G18" s="22"/>
      <c r="H18" s="191" t="s">
        <v>49</v>
      </c>
      <c r="I18" s="317"/>
      <c r="J18" s="318"/>
      <c r="K18" s="318"/>
      <c r="L18" s="307"/>
      <c r="M18" s="22"/>
      <c r="N18" s="22"/>
      <c r="O18" s="22"/>
      <c r="P18" s="308" t="s">
        <v>48</v>
      </c>
      <c r="Q18" s="303">
        <v>1.4047670012902586E-3</v>
      </c>
      <c r="R18" s="303">
        <v>0.14261380567437262</v>
      </c>
      <c r="S18" s="305">
        <v>0.1440185726756629</v>
      </c>
      <c r="W18" s="297"/>
      <c r="X18" s="308" t="s">
        <v>48</v>
      </c>
      <c r="Y18" s="303">
        <v>1.4047670012902586E-3</v>
      </c>
      <c r="Z18" s="303">
        <v>0.14261380567437262</v>
      </c>
      <c r="AA18" s="305">
        <v>0.1440185726756629</v>
      </c>
      <c r="AE18" s="22"/>
      <c r="AF18" s="308" t="s">
        <v>48</v>
      </c>
      <c r="AG18" s="303">
        <v>1.4047670012902586E-3</v>
      </c>
      <c r="AH18" s="303">
        <v>0.14261380567437262</v>
      </c>
      <c r="AI18" s="305">
        <v>0.1440185726756629</v>
      </c>
    </row>
    <row r="19" spans="1:42" ht="14.25" customHeight="1">
      <c r="A19" s="179"/>
      <c r="B19" s="22"/>
      <c r="C19" s="22"/>
      <c r="D19" s="22"/>
      <c r="E19" s="22"/>
      <c r="F19" s="22"/>
      <c r="G19" s="22"/>
      <c r="I19" s="202"/>
      <c r="J19" s="202"/>
      <c r="K19" s="202"/>
      <c r="L19" s="202"/>
      <c r="M19" s="22"/>
      <c r="N19" s="22"/>
      <c r="O19" s="22"/>
      <c r="P19" s="311" t="s">
        <v>49</v>
      </c>
      <c r="Q19" s="318"/>
      <c r="R19" s="318"/>
      <c r="S19" s="307"/>
      <c r="W19" s="22"/>
      <c r="X19" s="311" t="s">
        <v>49</v>
      </c>
      <c r="Y19" s="318"/>
      <c r="Z19" s="318"/>
      <c r="AA19" s="307"/>
      <c r="AE19" s="22"/>
      <c r="AF19" s="311" t="s">
        <v>49</v>
      </c>
      <c r="AG19" s="318"/>
      <c r="AH19" s="318"/>
      <c r="AI19" s="307"/>
    </row>
    <row r="20" spans="1:42" ht="14.25" customHeight="1">
      <c r="A20" s="179"/>
      <c r="B20" s="22"/>
      <c r="C20" s="22"/>
      <c r="D20" s="22"/>
      <c r="E20" s="22"/>
      <c r="F20" s="22"/>
      <c r="G20" s="22"/>
      <c r="I20" s="202"/>
      <c r="J20" s="202"/>
      <c r="K20" s="202"/>
      <c r="L20" s="202"/>
      <c r="M20" s="22"/>
      <c r="N20" s="22"/>
      <c r="O20" s="22"/>
      <c r="P20" s="19"/>
      <c r="Q20" s="174"/>
      <c r="R20" s="175"/>
      <c r="S20" s="175"/>
      <c r="W20" s="22"/>
      <c r="X20" s="19"/>
      <c r="Y20" s="267"/>
      <c r="Z20" s="175"/>
      <c r="AA20" s="175"/>
      <c r="AE20" s="22"/>
      <c r="AF20" s="19"/>
      <c r="AG20" s="174"/>
      <c r="AH20" s="175"/>
      <c r="AI20" s="175"/>
    </row>
    <row r="21" spans="1:42" s="35" customFormat="1">
      <c r="A21" s="21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V21"/>
      <c r="W21" s="34"/>
      <c r="X21" s="34"/>
      <c r="Y21" s="34"/>
      <c r="Z21" s="34"/>
      <c r="AD21"/>
      <c r="AE21" s="34"/>
      <c r="AF21" s="34"/>
      <c r="AG21" s="34"/>
      <c r="AH21" s="34"/>
    </row>
    <row r="22" spans="1:42" ht="15.75" thickBot="1">
      <c r="A22" s="290"/>
      <c r="B22" s="22"/>
      <c r="C22" s="22"/>
      <c r="D22" s="22"/>
      <c r="E22" s="22"/>
      <c r="F22" s="61"/>
      <c r="G22" s="206"/>
      <c r="H22" s="421" t="s">
        <v>33</v>
      </c>
      <c r="I22" s="421"/>
      <c r="J22" s="421"/>
      <c r="K22" s="421"/>
      <c r="L22" s="421"/>
      <c r="M22" s="421"/>
      <c r="N22" s="57"/>
      <c r="O22" s="421" t="s">
        <v>56</v>
      </c>
      <c r="P22" s="421"/>
      <c r="Q22" s="421"/>
      <c r="R22" s="421"/>
      <c r="S22" s="421"/>
      <c r="T22" s="421"/>
      <c r="U22" s="421"/>
      <c r="V22" s="57"/>
      <c r="W22" s="421" t="s">
        <v>57</v>
      </c>
      <c r="X22" s="421"/>
      <c r="Y22" s="421"/>
      <c r="Z22" s="421"/>
      <c r="AA22" s="421"/>
      <c r="AB22" s="421"/>
      <c r="AC22" s="421"/>
      <c r="AD22" s="57"/>
      <c r="AE22" s="421" t="s">
        <v>58</v>
      </c>
      <c r="AF22" s="421"/>
      <c r="AG22" s="421"/>
      <c r="AH22" s="421"/>
      <c r="AI22" s="421"/>
      <c r="AJ22" s="421"/>
      <c r="AK22" s="421"/>
      <c r="AL22" s="57"/>
      <c r="AM22" s="417"/>
      <c r="AN22" s="417"/>
      <c r="AO22" s="417"/>
      <c r="AP22" s="417"/>
    </row>
    <row r="23" spans="1:42" ht="16.5" thickTop="1" thickBot="1">
      <c r="A23" s="18"/>
      <c r="B23" s="19"/>
      <c r="C23" s="19"/>
      <c r="D23" s="20"/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429"/>
      <c r="P23" s="429"/>
      <c r="Q23" s="429"/>
      <c r="R23" s="429"/>
      <c r="W23" s="429"/>
      <c r="X23" s="429"/>
      <c r="Y23" s="429"/>
      <c r="Z23" s="429"/>
      <c r="AE23" s="429"/>
      <c r="AF23" s="429"/>
      <c r="AG23" s="429"/>
      <c r="AH23" s="429"/>
      <c r="AM23" s="196"/>
      <c r="AN23" s="196"/>
      <c r="AO23" s="196"/>
      <c r="AP23" s="196"/>
    </row>
    <row r="24" spans="1:42" ht="49.35" customHeight="1" thickTop="1" thickBot="1">
      <c r="A24" s="18"/>
      <c r="B24" s="19"/>
      <c r="C24" s="51"/>
      <c r="D24" s="51"/>
      <c r="E24" s="365"/>
      <c r="F24" s="52"/>
      <c r="G24" s="52"/>
      <c r="H24" s="52"/>
      <c r="I24" s="52"/>
      <c r="J24" s="52" t="s">
        <v>59</v>
      </c>
      <c r="K24" s="52" t="s">
        <v>60</v>
      </c>
      <c r="L24" s="51" t="s">
        <v>61</v>
      </c>
      <c r="M24" s="52" t="s">
        <v>62</v>
      </c>
      <c r="N24" s="52"/>
      <c r="O24" s="23"/>
      <c r="P24" s="23"/>
      <c r="Q24" s="23"/>
      <c r="R24" s="52" t="s">
        <v>59</v>
      </c>
      <c r="S24" s="52" t="s">
        <v>60</v>
      </c>
      <c r="T24" s="51" t="s">
        <v>61</v>
      </c>
      <c r="U24" s="52" t="s">
        <v>62</v>
      </c>
      <c r="V24" s="52"/>
      <c r="W24" s="23"/>
      <c r="X24" s="23"/>
      <c r="Y24" s="23"/>
      <c r="Z24" s="52" t="s">
        <v>59</v>
      </c>
      <c r="AA24" s="52" t="s">
        <v>60</v>
      </c>
      <c r="AB24" s="51" t="s">
        <v>61</v>
      </c>
      <c r="AC24" s="52" t="s">
        <v>62</v>
      </c>
      <c r="AD24" s="52"/>
      <c r="AE24" s="23"/>
      <c r="AF24" s="23"/>
      <c r="AG24" s="23"/>
      <c r="AH24" s="52" t="s">
        <v>59</v>
      </c>
      <c r="AI24" s="52" t="s">
        <v>60</v>
      </c>
      <c r="AJ24" s="51" t="s">
        <v>61</v>
      </c>
      <c r="AK24" s="52" t="s">
        <v>62</v>
      </c>
      <c r="AL24" s="52"/>
      <c r="AM24" s="347"/>
      <c r="AN24" s="347"/>
      <c r="AO24" s="69"/>
      <c r="AP24" s="69"/>
    </row>
    <row r="25" spans="1:42" ht="16.5" thickTop="1" thickBot="1">
      <c r="A25" s="24" t="s">
        <v>63</v>
      </c>
      <c r="C25" s="19" t="s">
        <v>8</v>
      </c>
      <c r="D25" s="25"/>
      <c r="E25" s="366">
        <v>22606</v>
      </c>
      <c r="F25" s="22"/>
      <c r="G25" s="22"/>
      <c r="H25" s="24"/>
      <c r="I25" s="19"/>
      <c r="J25" s="19"/>
      <c r="K25" s="19"/>
      <c r="L25" s="22"/>
      <c r="M25" s="22"/>
      <c r="N25" s="22"/>
      <c r="O25" s="22"/>
      <c r="P25" s="24"/>
      <c r="Q25" s="19"/>
      <c r="R25" s="19"/>
      <c r="S25" s="19"/>
      <c r="T25" s="22"/>
      <c r="U25" s="22"/>
      <c r="V25" s="22"/>
      <c r="W25" s="22"/>
      <c r="X25" s="24"/>
      <c r="Y25" s="19"/>
      <c r="Z25" s="19"/>
      <c r="AA25" s="19"/>
      <c r="AB25" s="22"/>
      <c r="AC25" s="22"/>
      <c r="AD25" s="22"/>
      <c r="AE25" s="22"/>
      <c r="AF25" s="24"/>
      <c r="AG25" s="19"/>
      <c r="AH25" s="19"/>
      <c r="AI25" s="19"/>
      <c r="AJ25" s="22"/>
      <c r="AK25" s="22"/>
      <c r="AL25" s="22"/>
    </row>
    <row r="26" spans="1:42" ht="16.5" thickTop="1" thickBot="1">
      <c r="A26" s="67" t="s">
        <v>64</v>
      </c>
      <c r="B26" s="19"/>
      <c r="C26" s="19"/>
      <c r="D26" s="19"/>
      <c r="E26" s="368">
        <f>(E25/365)/'Load Factor'!$B$5</f>
        <v>211.7806466332525</v>
      </c>
      <c r="F26" s="22"/>
      <c r="G26" s="22"/>
      <c r="H26" s="67"/>
      <c r="I26" s="19"/>
      <c r="J26" s="19"/>
      <c r="K26" s="19"/>
      <c r="L26" s="22"/>
      <c r="M26" s="22"/>
      <c r="N26" s="22"/>
      <c r="O26" s="22"/>
      <c r="P26" s="67"/>
      <c r="Q26" s="19"/>
      <c r="R26" s="19"/>
      <c r="S26" s="19"/>
      <c r="T26" s="22"/>
      <c r="U26" s="22"/>
      <c r="V26" s="22"/>
      <c r="W26" s="22"/>
      <c r="X26" s="67"/>
      <c r="Y26" s="19"/>
      <c r="Z26" s="19"/>
      <c r="AA26" s="19"/>
      <c r="AB26" s="22"/>
      <c r="AC26" s="22"/>
      <c r="AD26" s="22"/>
      <c r="AE26" s="22"/>
      <c r="AF26" s="67"/>
      <c r="AG26" s="19"/>
      <c r="AH26" s="19"/>
      <c r="AI26" s="19"/>
      <c r="AJ26" s="22"/>
      <c r="AK26" s="22"/>
      <c r="AL26" s="22"/>
    </row>
    <row r="27" spans="1:42" ht="15.75" thickTop="1">
      <c r="A27" s="180" t="s">
        <v>81</v>
      </c>
      <c r="B27" s="19"/>
      <c r="C27" s="162">
        <v>5758</v>
      </c>
      <c r="D27" s="27"/>
      <c r="E27" s="367"/>
      <c r="F27" s="22"/>
      <c r="G27" s="30"/>
      <c r="H27" s="26" t="s">
        <v>65</v>
      </c>
      <c r="I27" s="19" t="s">
        <v>11</v>
      </c>
      <c r="J27" s="62">
        <f>$J$4</f>
        <v>78.64</v>
      </c>
      <c r="K27" s="62">
        <f>J27*12</f>
        <v>943.68000000000006</v>
      </c>
      <c r="L27" s="30">
        <f>$K$4*12</f>
        <v>0</v>
      </c>
      <c r="M27" s="30">
        <f>K27+L27</f>
        <v>943.68000000000006</v>
      </c>
      <c r="N27" s="22"/>
      <c r="O27" s="30"/>
      <c r="P27" s="26" t="s">
        <v>66</v>
      </c>
      <c r="Q27" s="19" t="s">
        <v>11</v>
      </c>
      <c r="R27" s="62">
        <f>$Q$14</f>
        <v>29.097610156886343</v>
      </c>
      <c r="S27" s="62">
        <f>R27*12</f>
        <v>349.17132188263611</v>
      </c>
      <c r="T27" s="30">
        <f>$R$14*12</f>
        <v>0</v>
      </c>
      <c r="U27" s="30">
        <f>S27+T27</f>
        <v>349.17132188263611</v>
      </c>
      <c r="V27" s="30"/>
      <c r="W27" s="30"/>
      <c r="X27" s="26" t="s">
        <v>66</v>
      </c>
      <c r="Y27" s="19" t="s">
        <v>11</v>
      </c>
      <c r="Z27" s="62"/>
      <c r="AA27" s="62">
        <f>$Y$14*12</f>
        <v>6022.6879026300103</v>
      </c>
      <c r="AB27" s="30">
        <f>$Z$14*12</f>
        <v>92.819437466669029</v>
      </c>
      <c r="AC27" s="30">
        <f>AA27+AB27</f>
        <v>6115.5073400966794</v>
      </c>
      <c r="AD27" s="30"/>
      <c r="AE27" s="30"/>
      <c r="AF27" s="26" t="s">
        <v>66</v>
      </c>
      <c r="AG27" s="19" t="s">
        <v>11</v>
      </c>
      <c r="AH27" s="62">
        <f>$AG$14</f>
        <v>29.1</v>
      </c>
      <c r="AI27" s="62">
        <f>AH27*12</f>
        <v>349.20000000000005</v>
      </c>
      <c r="AJ27" s="30">
        <f>$AH$14*12</f>
        <v>0</v>
      </c>
      <c r="AK27" s="30">
        <f>AI27+AJ27</f>
        <v>349.20000000000005</v>
      </c>
      <c r="AL27" s="30"/>
    </row>
    <row r="28" spans="1:42">
      <c r="A28" s="180" t="s">
        <v>82</v>
      </c>
      <c r="B28" s="19"/>
      <c r="C28" s="162">
        <v>7573</v>
      </c>
      <c r="D28" s="27"/>
      <c r="E28" s="28"/>
      <c r="F28" s="22"/>
      <c r="G28" s="30"/>
      <c r="H28" s="26"/>
      <c r="I28" s="19"/>
      <c r="J28" s="62"/>
      <c r="N28" s="22"/>
      <c r="O28" s="30"/>
      <c r="P28" s="26" t="s">
        <v>67</v>
      </c>
      <c r="Q28" s="19" t="s">
        <v>11</v>
      </c>
      <c r="R28" s="62"/>
      <c r="S28" s="62">
        <f>$Q$15*E26*12</f>
        <v>1588.3163947143589</v>
      </c>
      <c r="T28" s="30">
        <f>$R$15*E26*12</f>
        <v>25.985053921716762</v>
      </c>
      <c r="U28" s="30">
        <f t="shared" ref="U28" si="0">S28+T28</f>
        <v>1614.3014486360757</v>
      </c>
      <c r="V28" s="30"/>
      <c r="W28" s="30"/>
      <c r="X28" s="26"/>
      <c r="Y28" s="19"/>
      <c r="Z28" s="62"/>
      <c r="AA28" s="62"/>
      <c r="AB28" s="30"/>
      <c r="AC28" s="30"/>
      <c r="AD28" s="30"/>
      <c r="AE28" s="30"/>
      <c r="AF28" s="26"/>
      <c r="AG28" s="19"/>
      <c r="AH28" s="62"/>
      <c r="AI28" s="62"/>
      <c r="AJ28" s="30"/>
      <c r="AK28" s="30"/>
      <c r="AL28" s="30"/>
    </row>
    <row r="29" spans="1:42">
      <c r="A29" s="180" t="s">
        <v>83</v>
      </c>
      <c r="B29" s="19"/>
      <c r="C29" s="162">
        <v>9275</v>
      </c>
      <c r="D29" s="27"/>
      <c r="E29" s="28"/>
      <c r="F29" s="22"/>
      <c r="G29" s="30"/>
      <c r="H29" s="26" t="s">
        <v>68</v>
      </c>
      <c r="I29" s="19" t="s">
        <v>11</v>
      </c>
      <c r="J29" s="62"/>
      <c r="K29" s="62">
        <f>SUMPRODUCT($J$6:$J$11,C27:C32)</f>
        <v>1574.6439316093561</v>
      </c>
      <c r="L29" s="30">
        <f>SUMPRODUCT($K$6:$K$11,C27:C32)</f>
        <v>175.42019939064372</v>
      </c>
      <c r="M29" s="30">
        <f>K29+L29</f>
        <v>1750.0641309999999</v>
      </c>
      <c r="N29" s="22"/>
      <c r="O29" s="30"/>
      <c r="P29" s="26" t="s">
        <v>69</v>
      </c>
      <c r="Q29" s="19" t="s">
        <v>11</v>
      </c>
      <c r="R29" s="62"/>
      <c r="S29" s="62">
        <f>$Q$16*E25</f>
        <v>0</v>
      </c>
      <c r="T29" s="30">
        <f>$R$16*E25</f>
        <v>87.466201976299303</v>
      </c>
      <c r="U29" s="30">
        <f>S29+T29</f>
        <v>87.466201976299303</v>
      </c>
      <c r="V29" s="30"/>
      <c r="W29" s="30"/>
      <c r="X29" s="26" t="s">
        <v>69</v>
      </c>
      <c r="Y29" s="19" t="s">
        <v>11</v>
      </c>
      <c r="Z29" s="62"/>
      <c r="AA29" s="62">
        <f>$Y$16*E25</f>
        <v>0</v>
      </c>
      <c r="AB29" s="30">
        <f>$Z$16*E25</f>
        <v>87.466201976299303</v>
      </c>
      <c r="AC29" s="30">
        <f>AA29+AB29</f>
        <v>87.466201976299303</v>
      </c>
      <c r="AD29" s="30"/>
      <c r="AE29" s="30"/>
      <c r="AF29" s="26" t="s">
        <v>69</v>
      </c>
      <c r="AG29" s="19" t="s">
        <v>11</v>
      </c>
      <c r="AH29" s="62"/>
      <c r="AI29" s="62">
        <f>$AG$16*E25</f>
        <v>1661.1620288653723</v>
      </c>
      <c r="AJ29" s="30">
        <f>$AH$16*E25</f>
        <v>114.64301954011847</v>
      </c>
      <c r="AK29" s="30">
        <f>AI29+AJ29</f>
        <v>1775.8050484054909</v>
      </c>
      <c r="AL29" s="30"/>
    </row>
    <row r="30" spans="1:42">
      <c r="A30" s="180" t="s">
        <v>84</v>
      </c>
      <c r="B30" s="19"/>
      <c r="C30" s="162">
        <v>0</v>
      </c>
      <c r="D30" s="27"/>
      <c r="E30" s="28"/>
      <c r="F30" s="22"/>
      <c r="G30" s="30"/>
      <c r="H30" s="26" t="s">
        <v>70</v>
      </c>
      <c r="I30" s="19" t="s">
        <v>11</v>
      </c>
      <c r="J30" s="62"/>
      <c r="K30" s="62">
        <f>$J$12*E25</f>
        <v>130.83575091580732</v>
      </c>
      <c r="L30" s="30">
        <f>$K$12*E25</f>
        <v>218.22349508419268</v>
      </c>
      <c r="M30" s="30">
        <f>SUM(K30:L30)</f>
        <v>349.05924600000003</v>
      </c>
      <c r="N30" s="22"/>
      <c r="O30" s="30"/>
      <c r="P30" s="26"/>
      <c r="Q30" s="19"/>
      <c r="R30" s="62"/>
      <c r="S30" s="62"/>
      <c r="T30" s="30"/>
      <c r="U30" s="30"/>
      <c r="V30" s="30"/>
      <c r="W30" s="30"/>
      <c r="X30" s="26"/>
      <c r="Y30" s="19"/>
      <c r="Z30" s="62"/>
      <c r="AA30" s="62"/>
      <c r="AB30" s="30"/>
      <c r="AC30" s="30"/>
      <c r="AD30" s="30"/>
      <c r="AE30" s="30"/>
      <c r="AF30" s="26"/>
      <c r="AG30" s="19"/>
      <c r="AH30" s="62"/>
      <c r="AI30" s="62"/>
      <c r="AJ30" s="30"/>
      <c r="AK30" s="30"/>
      <c r="AL30" s="30"/>
    </row>
    <row r="31" spans="1:42">
      <c r="A31" s="180" t="s">
        <v>85</v>
      </c>
      <c r="B31" s="19"/>
      <c r="C31" s="162">
        <v>0</v>
      </c>
      <c r="D31" s="27"/>
      <c r="E31" s="28"/>
      <c r="F31" s="22"/>
      <c r="G31" s="30"/>
      <c r="H31" s="26" t="s">
        <v>71</v>
      </c>
      <c r="I31" s="19" t="s">
        <v>11</v>
      </c>
      <c r="J31" s="62"/>
      <c r="K31" s="62">
        <f>$J$13*E25</f>
        <v>17.472410746261101</v>
      </c>
      <c r="L31" s="30">
        <f>$K$13*E25</f>
        <v>1085.8360252537389</v>
      </c>
      <c r="M31" s="30">
        <f>K31+L31</f>
        <v>1103.308436</v>
      </c>
      <c r="N31" s="22"/>
      <c r="O31" s="30"/>
      <c r="P31" s="26" t="s">
        <v>71</v>
      </c>
      <c r="Q31" s="19" t="s">
        <v>11</v>
      </c>
      <c r="R31" s="62"/>
      <c r="S31" s="62">
        <f>$Q$17*E25</f>
        <v>-18.544167482285076</v>
      </c>
      <c r="T31" s="30">
        <f>$R$17*E25</f>
        <v>375.96552479124972</v>
      </c>
      <c r="U31" s="30">
        <f>S31+T31</f>
        <v>357.42135730896462</v>
      </c>
      <c r="V31" s="30"/>
      <c r="W31" s="30"/>
      <c r="X31" s="26" t="s">
        <v>71</v>
      </c>
      <c r="Y31" s="19" t="s">
        <v>11</v>
      </c>
      <c r="Z31" s="62"/>
      <c r="AA31" s="62">
        <f>$Y$17*E25</f>
        <v>-18.544167482285076</v>
      </c>
      <c r="AB31" s="30">
        <f>$Z$17*E25</f>
        <v>375.96552479124972</v>
      </c>
      <c r="AC31" s="30">
        <f>AA31+AB31</f>
        <v>357.42135730896462</v>
      </c>
      <c r="AD31" s="30"/>
      <c r="AE31" s="30"/>
      <c r="AF31" s="26" t="s">
        <v>71</v>
      </c>
      <c r="AG31" s="19" t="s">
        <v>11</v>
      </c>
      <c r="AH31" s="62"/>
      <c r="AI31" s="62">
        <f>$AG$17*E25</f>
        <v>-18.544167482285076</v>
      </c>
      <c r="AJ31" s="30">
        <f>$AH$17*E25</f>
        <v>375.96552479124972</v>
      </c>
      <c r="AK31" s="30">
        <f>AI31+AJ31</f>
        <v>357.42135730896462</v>
      </c>
      <c r="AL31" s="30"/>
    </row>
    <row r="32" spans="1:42">
      <c r="A32" s="180" t="s">
        <v>86</v>
      </c>
      <c r="B32" s="19"/>
      <c r="C32" s="163">
        <v>0</v>
      </c>
      <c r="D32" s="27"/>
      <c r="E32" s="28"/>
      <c r="F32" s="22"/>
      <c r="G32" s="30"/>
      <c r="H32" s="26" t="s">
        <v>72</v>
      </c>
      <c r="I32" s="19" t="s">
        <v>11</v>
      </c>
      <c r="J32" s="62"/>
      <c r="K32" s="62">
        <f>$J$17*E25</f>
        <v>24.474277911626864</v>
      </c>
      <c r="L32" s="30">
        <f>$K$17*E25</f>
        <v>2350.6251120883735</v>
      </c>
      <c r="M32" s="30">
        <f>K32+L32</f>
        <v>2375.0993900000003</v>
      </c>
      <c r="N32" s="22"/>
      <c r="O32" s="30"/>
      <c r="P32" s="26" t="s">
        <v>73</v>
      </c>
      <c r="Q32" s="19" t="s">
        <v>11</v>
      </c>
      <c r="R32" s="62"/>
      <c r="S32" s="62">
        <f>$Q$18*E25</f>
        <v>31.756162831167586</v>
      </c>
      <c r="T32" s="30">
        <f>$R$18*E25</f>
        <v>3223.9276910748677</v>
      </c>
      <c r="U32" s="30">
        <f>S32+T32</f>
        <v>3255.6838539060354</v>
      </c>
      <c r="V32" s="30"/>
      <c r="W32" s="30"/>
      <c r="X32" s="26" t="s">
        <v>73</v>
      </c>
      <c r="Y32" s="19" t="s">
        <v>11</v>
      </c>
      <c r="Z32" s="62"/>
      <c r="AA32" s="62">
        <f>$Y$18*E25</f>
        <v>31.756162831167586</v>
      </c>
      <c r="AB32" s="30">
        <f>$Z$18*E25</f>
        <v>3223.9276910748677</v>
      </c>
      <c r="AC32" s="30">
        <f>AA32+AB32</f>
        <v>3255.6838539060354</v>
      </c>
      <c r="AD32" s="30"/>
      <c r="AE32" s="30"/>
      <c r="AF32" s="26" t="s">
        <v>73</v>
      </c>
      <c r="AG32" s="19" t="s">
        <v>11</v>
      </c>
      <c r="AH32" s="62"/>
      <c r="AI32" s="62">
        <f>$AG$18*E25</f>
        <v>31.756162831167586</v>
      </c>
      <c r="AJ32" s="30">
        <f>$AH$18*E25</f>
        <v>3223.9276910748677</v>
      </c>
      <c r="AK32" s="30">
        <f>AI32+AJ32</f>
        <v>3255.6838539060354</v>
      </c>
      <c r="AL32" s="30"/>
    </row>
    <row r="33" spans="1:42">
      <c r="D33" s="80"/>
      <c r="E33" s="48"/>
      <c r="F33" s="30"/>
      <c r="G33" s="49"/>
      <c r="H33" s="29" t="s">
        <v>74</v>
      </c>
      <c r="I33" s="19" t="s">
        <v>11</v>
      </c>
      <c r="J33" s="19"/>
      <c r="K33" s="63">
        <f>SUM(K27:K32)</f>
        <v>2691.1063711830511</v>
      </c>
      <c r="L33" s="49">
        <f>SUM(L27:L32)</f>
        <v>3830.1048318169487</v>
      </c>
      <c r="M33" s="49">
        <f>SUM(M27:M32)</f>
        <v>6521.2112030000008</v>
      </c>
      <c r="N33" s="30"/>
      <c r="O33" s="49"/>
      <c r="P33" s="29" t="s">
        <v>74</v>
      </c>
      <c r="Q33" s="19" t="s">
        <v>11</v>
      </c>
      <c r="R33" s="19"/>
      <c r="S33" s="182">
        <f>SUM(S27:S32)</f>
        <v>1950.6997119458777</v>
      </c>
      <c r="T33" s="49">
        <f>SUM(T27:T32)</f>
        <v>3713.3444717641332</v>
      </c>
      <c r="U33" s="49">
        <f>SUM(U27:U32)</f>
        <v>5664.0441837100116</v>
      </c>
      <c r="V33" s="49"/>
      <c r="W33" s="49"/>
      <c r="X33" s="29" t="s">
        <v>74</v>
      </c>
      <c r="Y33" s="19" t="s">
        <v>11</v>
      </c>
      <c r="Z33" s="19"/>
      <c r="AA33" s="182">
        <f>SUM(AA27:AA32)</f>
        <v>6035.899897978893</v>
      </c>
      <c r="AB33" s="49">
        <f>SUM(AB27:AB32)</f>
        <v>3780.1788553090855</v>
      </c>
      <c r="AC33" s="49">
        <f>SUM(AC27:AC32)</f>
        <v>9816.0787532879785</v>
      </c>
      <c r="AD33" s="49"/>
      <c r="AE33" s="49"/>
      <c r="AF33" s="29" t="s">
        <v>74</v>
      </c>
      <c r="AG33" s="19" t="s">
        <v>11</v>
      </c>
      <c r="AH33" s="19"/>
      <c r="AI33" s="182">
        <f>SUM(AI27:AI32)</f>
        <v>2023.5740242142549</v>
      </c>
      <c r="AJ33" s="49">
        <f>SUM(AJ27:AJ32)</f>
        <v>3714.5362354062358</v>
      </c>
      <c r="AK33" s="49">
        <f>SUM(AK27:AK32)</f>
        <v>5738.110259620491</v>
      </c>
      <c r="AL33" s="49"/>
    </row>
    <row r="34" spans="1:42">
      <c r="A34" s="26"/>
      <c r="B34" s="19"/>
      <c r="C34" s="19"/>
      <c r="D34" s="26"/>
      <c r="E34" s="28"/>
      <c r="F34" s="26"/>
      <c r="G34" s="26"/>
      <c r="H34" s="26"/>
      <c r="I34" s="26"/>
      <c r="J34" s="26"/>
      <c r="K34" s="26"/>
      <c r="L34" s="26"/>
      <c r="M34" s="26"/>
      <c r="N34" s="26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42" s="35" customFormat="1">
      <c r="A35" s="31"/>
      <c r="B35" s="32"/>
      <c r="C35" s="68"/>
      <c r="D35" s="54"/>
      <c r="E35" s="55"/>
      <c r="F35" s="34"/>
      <c r="G35" s="50"/>
      <c r="H35" s="50"/>
      <c r="I35" s="50"/>
      <c r="J35" s="50"/>
      <c r="K35" s="64" t="s">
        <v>24</v>
      </c>
      <c r="L35" s="50"/>
      <c r="M35" s="50"/>
      <c r="N35" s="34"/>
      <c r="O35" s="64"/>
      <c r="P35" s="64"/>
      <c r="Q35" s="64"/>
      <c r="R35" s="64"/>
      <c r="S35" s="64" t="s">
        <v>24</v>
      </c>
      <c r="T35" s="64"/>
      <c r="U35" s="151">
        <f>U33/M33</f>
        <v>0.86855708355287431</v>
      </c>
      <c r="V35" s="151"/>
      <c r="W35" s="64"/>
      <c r="X35" s="64"/>
      <c r="Y35" s="64"/>
      <c r="Z35" s="64"/>
      <c r="AA35" s="64" t="s">
        <v>24</v>
      </c>
      <c r="AB35" s="64"/>
      <c r="AC35" s="151">
        <f>AC33/M33</f>
        <v>1.5052539241133942</v>
      </c>
      <c r="AD35" s="155"/>
      <c r="AE35" s="64"/>
      <c r="AF35" s="64"/>
      <c r="AG35" s="64"/>
      <c r="AH35" s="64"/>
      <c r="AI35" s="64" t="s">
        <v>24</v>
      </c>
      <c r="AJ35" s="64"/>
      <c r="AK35" s="151">
        <f>AK33/M33</f>
        <v>0.87991480125359933</v>
      </c>
      <c r="AL35" s="151"/>
    </row>
    <row r="36" spans="1:42">
      <c r="A36" s="187"/>
      <c r="B36" s="187"/>
      <c r="D36" s="187"/>
      <c r="E36" s="187"/>
      <c r="F36" s="187"/>
      <c r="V36" s="187"/>
      <c r="W36" s="187"/>
      <c r="AE36" s="187"/>
    </row>
    <row r="37" spans="1:42" s="71" customFormat="1" ht="11.45" customHeight="1">
      <c r="A37" s="71" t="s">
        <v>77</v>
      </c>
    </row>
    <row r="38" spans="1:42">
      <c r="AM38" s="417"/>
      <c r="AN38" s="417"/>
      <c r="AO38" s="417"/>
      <c r="AP38" s="417"/>
    </row>
    <row r="39" spans="1:42" ht="49.35" customHeight="1" thickBot="1">
      <c r="A39" s="18" t="s">
        <v>78</v>
      </c>
      <c r="B39" s="19"/>
      <c r="C39" s="51"/>
      <c r="D39" s="51"/>
      <c r="E39" s="23"/>
      <c r="F39" s="52"/>
      <c r="G39" s="52"/>
      <c r="H39" s="52"/>
      <c r="I39" s="52"/>
      <c r="J39" s="52" t="s">
        <v>59</v>
      </c>
      <c r="K39" s="52" t="s">
        <v>60</v>
      </c>
      <c r="L39" s="51" t="s">
        <v>61</v>
      </c>
      <c r="M39" s="52" t="s">
        <v>62</v>
      </c>
      <c r="N39" s="52"/>
      <c r="O39" s="153"/>
      <c r="P39" s="23"/>
      <c r="Q39" s="23"/>
      <c r="R39" s="52" t="s">
        <v>59</v>
      </c>
      <c r="S39" s="52" t="s">
        <v>60</v>
      </c>
      <c r="T39" s="51" t="s">
        <v>61</v>
      </c>
      <c r="U39" s="52" t="s">
        <v>62</v>
      </c>
      <c r="V39" s="52"/>
      <c r="W39" s="153"/>
      <c r="X39" s="23"/>
      <c r="Y39" s="23"/>
      <c r="Z39" s="52" t="s">
        <v>59</v>
      </c>
      <c r="AA39" s="52" t="s">
        <v>60</v>
      </c>
      <c r="AB39" s="51" t="s">
        <v>61</v>
      </c>
      <c r="AC39" s="52" t="s">
        <v>62</v>
      </c>
      <c r="AD39" s="52"/>
      <c r="AE39" s="153"/>
      <c r="AF39" s="23"/>
      <c r="AG39" s="23"/>
      <c r="AH39" s="52" t="s">
        <v>59</v>
      </c>
      <c r="AI39" s="52" t="s">
        <v>60</v>
      </c>
      <c r="AJ39" s="51" t="s">
        <v>61</v>
      </c>
      <c r="AK39" s="52" t="s">
        <v>62</v>
      </c>
      <c r="AL39" s="52"/>
      <c r="AM39" s="196"/>
      <c r="AN39" s="196"/>
      <c r="AO39" s="196"/>
      <c r="AP39" s="196"/>
    </row>
    <row r="40" spans="1:42" ht="15.75" thickBot="1">
      <c r="A40" s="24" t="s">
        <v>63</v>
      </c>
      <c r="B40" s="19" t="s">
        <v>8</v>
      </c>
      <c r="C40" s="19"/>
      <c r="D40" s="25"/>
      <c r="E40" s="369">
        <v>22606</v>
      </c>
      <c r="F40" s="22"/>
      <c r="G40" s="22"/>
      <c r="H40" s="24"/>
      <c r="I40" s="19"/>
      <c r="J40" s="19"/>
      <c r="K40" s="19"/>
      <c r="L40" s="22"/>
      <c r="M40" s="22"/>
      <c r="N40" s="22"/>
      <c r="O40" s="22"/>
      <c r="P40" s="24"/>
      <c r="Q40" s="19"/>
      <c r="R40" s="19"/>
      <c r="S40" s="19"/>
      <c r="T40" s="22"/>
      <c r="U40" s="22"/>
      <c r="V40" s="19"/>
      <c r="W40" s="22"/>
      <c r="X40" s="24"/>
      <c r="Y40" s="19"/>
      <c r="Z40" s="19"/>
      <c r="AA40" s="19"/>
      <c r="AB40" s="22"/>
      <c r="AC40" s="22"/>
      <c r="AD40" s="22"/>
      <c r="AE40" s="22"/>
      <c r="AF40" s="24"/>
      <c r="AG40" s="19"/>
      <c r="AH40" s="19"/>
      <c r="AI40" s="19"/>
      <c r="AJ40" s="22"/>
      <c r="AK40" s="22"/>
      <c r="AL40" s="19"/>
      <c r="AM40" s="224"/>
      <c r="AN40" s="224"/>
      <c r="AO40" s="69"/>
      <c r="AP40" s="69"/>
    </row>
    <row r="41" spans="1:42" ht="15.75" thickBot="1">
      <c r="A41" s="67" t="s">
        <v>64</v>
      </c>
      <c r="B41" s="19"/>
      <c r="C41" s="19"/>
      <c r="D41" s="19"/>
      <c r="E41" s="370">
        <f>(E40/365)/0.14</f>
        <v>442.3874755381604</v>
      </c>
      <c r="F41" s="22"/>
      <c r="G41" s="22"/>
      <c r="H41" s="67"/>
      <c r="I41" s="19"/>
      <c r="J41" s="19"/>
      <c r="K41" s="19"/>
      <c r="L41" s="22"/>
      <c r="M41" s="22"/>
      <c r="N41" s="22"/>
      <c r="O41" s="22"/>
      <c r="P41" s="67"/>
      <c r="Q41" s="19"/>
      <c r="R41" s="19"/>
      <c r="S41" s="19"/>
      <c r="T41" s="22"/>
      <c r="U41" s="22"/>
      <c r="V41" s="19"/>
      <c r="W41" s="22"/>
      <c r="X41" s="67"/>
      <c r="Y41" s="19"/>
      <c r="Z41" s="19"/>
      <c r="AA41" s="19"/>
      <c r="AB41" s="22"/>
      <c r="AC41" s="22"/>
      <c r="AD41" s="22"/>
      <c r="AE41" s="22"/>
      <c r="AF41" s="67"/>
      <c r="AG41" s="19"/>
      <c r="AH41" s="19"/>
      <c r="AI41" s="19"/>
      <c r="AJ41" s="22"/>
      <c r="AK41" s="22"/>
      <c r="AL41" s="19"/>
    </row>
    <row r="42" spans="1:42" ht="15.75" thickBot="1">
      <c r="A42" s="180" t="s">
        <v>81</v>
      </c>
      <c r="B42" s="19"/>
      <c r="C42" s="162">
        <v>5758</v>
      </c>
      <c r="D42" s="27"/>
      <c r="E42" s="28"/>
      <c r="F42" s="22"/>
      <c r="G42" s="30"/>
      <c r="H42" s="26" t="s">
        <v>65</v>
      </c>
      <c r="I42" s="19" t="s">
        <v>11</v>
      </c>
      <c r="J42" s="62">
        <f>$J$4</f>
        <v>78.64</v>
      </c>
      <c r="K42" s="62">
        <f>J42*12</f>
        <v>943.68000000000006</v>
      </c>
      <c r="L42" s="30">
        <f>$K$4*12</f>
        <v>0</v>
      </c>
      <c r="M42" s="30">
        <f>K42+L42</f>
        <v>943.68000000000006</v>
      </c>
      <c r="N42" s="22"/>
      <c r="O42" s="30"/>
      <c r="P42" s="26" t="s">
        <v>66</v>
      </c>
      <c r="Q42" s="19" t="s">
        <v>11</v>
      </c>
      <c r="R42" s="62">
        <f>$Q$14</f>
        <v>29.097610156886343</v>
      </c>
      <c r="S42" s="62">
        <f>R42*12</f>
        <v>349.17132188263611</v>
      </c>
      <c r="T42" s="30">
        <f>$R$14*12</f>
        <v>0</v>
      </c>
      <c r="U42" s="30">
        <f>S42+T42</f>
        <v>349.17132188263611</v>
      </c>
      <c r="V42" s="30"/>
      <c r="W42" s="30"/>
      <c r="X42" s="26" t="s">
        <v>66</v>
      </c>
      <c r="Y42" s="19" t="s">
        <v>11</v>
      </c>
      <c r="Z42" s="62"/>
      <c r="AA42" s="62">
        <f>$Y$14*12</f>
        <v>6022.6879026300103</v>
      </c>
      <c r="AB42" s="30">
        <f>$Z$14*12</f>
        <v>92.819437466669029</v>
      </c>
      <c r="AC42" s="30">
        <f>AA42+AB42</f>
        <v>6115.5073400966794</v>
      </c>
      <c r="AD42" s="30"/>
      <c r="AE42" s="30"/>
      <c r="AF42" s="26" t="s">
        <v>66</v>
      </c>
      <c r="AG42" s="19" t="s">
        <v>11</v>
      </c>
      <c r="AH42" s="62">
        <f>$AG$14</f>
        <v>29.1</v>
      </c>
      <c r="AI42" s="62">
        <f>AH42*12</f>
        <v>349.20000000000005</v>
      </c>
      <c r="AJ42" s="30">
        <f>$AH$14*12</f>
        <v>0</v>
      </c>
      <c r="AK42" s="30">
        <f>AI42+AJ42</f>
        <v>349.20000000000005</v>
      </c>
      <c r="AL42" s="30"/>
    </row>
    <row r="43" spans="1:42">
      <c r="A43" s="180" t="s">
        <v>82</v>
      </c>
      <c r="B43" s="19"/>
      <c r="C43" s="162">
        <v>7573</v>
      </c>
      <c r="D43" s="27"/>
      <c r="E43" s="28"/>
      <c r="F43" s="22"/>
      <c r="G43" s="30"/>
      <c r="H43" s="26"/>
      <c r="I43" s="19"/>
      <c r="J43" s="62"/>
      <c r="N43" s="22"/>
      <c r="O43" s="30"/>
      <c r="P43" s="26" t="s">
        <v>67</v>
      </c>
      <c r="Q43" s="19" t="s">
        <v>11</v>
      </c>
      <c r="R43" s="62"/>
      <c r="S43" s="62">
        <f>$Q$15*E41*12</f>
        <v>3317.8257380163818</v>
      </c>
      <c r="T43" s="30">
        <f>$R$15*E41*12</f>
        <v>54.280042057187231</v>
      </c>
      <c r="U43" s="30">
        <f t="shared" ref="U43" si="1">S43+T43</f>
        <v>3372.1057800735689</v>
      </c>
      <c r="V43" s="30"/>
      <c r="W43" s="30"/>
      <c r="X43" s="26"/>
      <c r="Y43" s="19"/>
      <c r="Z43" s="62"/>
      <c r="AA43" s="62"/>
      <c r="AB43" s="30"/>
      <c r="AC43" s="30"/>
      <c r="AD43" s="30"/>
      <c r="AE43" s="30"/>
      <c r="AF43" s="26"/>
      <c r="AG43" s="19"/>
      <c r="AH43" s="62"/>
      <c r="AI43" s="62"/>
      <c r="AJ43" s="30"/>
      <c r="AK43" s="30"/>
      <c r="AL43" s="30"/>
    </row>
    <row r="44" spans="1:42">
      <c r="A44" s="180" t="s">
        <v>83</v>
      </c>
      <c r="B44" s="19"/>
      <c r="C44" s="162">
        <v>9275</v>
      </c>
      <c r="D44" s="27"/>
      <c r="E44" s="28"/>
      <c r="F44" s="22"/>
      <c r="G44" s="30"/>
      <c r="H44" s="26" t="s">
        <v>68</v>
      </c>
      <c r="I44" s="19" t="s">
        <v>11</v>
      </c>
      <c r="J44" s="62"/>
      <c r="K44" s="62">
        <f>SUMPRODUCT($J$6:$J$11,C42:C47)</f>
        <v>1574.6439316093561</v>
      </c>
      <c r="L44" s="30">
        <f>SUMPRODUCT($K$6:$K$11,C42:C47)</f>
        <v>175.42019939064372</v>
      </c>
      <c r="M44" s="30">
        <f>K44+L44</f>
        <v>1750.0641309999999</v>
      </c>
      <c r="N44" s="22"/>
      <c r="O44" s="30"/>
      <c r="P44" s="26" t="s">
        <v>69</v>
      </c>
      <c r="Q44" s="19" t="s">
        <v>11</v>
      </c>
      <c r="R44" s="62"/>
      <c r="S44" s="62">
        <f>$Q$16*E40</f>
        <v>0</v>
      </c>
      <c r="T44" s="30">
        <f>$R$16*E40</f>
        <v>87.466201976299303</v>
      </c>
      <c r="U44" s="30">
        <f>S44+T44</f>
        <v>87.466201976299303</v>
      </c>
      <c r="V44" s="30"/>
      <c r="W44" s="30"/>
      <c r="X44" s="26" t="s">
        <v>69</v>
      </c>
      <c r="Y44" s="19" t="s">
        <v>11</v>
      </c>
      <c r="Z44" s="62"/>
      <c r="AA44" s="62">
        <f>$Y$16*E40</f>
        <v>0</v>
      </c>
      <c r="AB44" s="30">
        <f>$Z$16*E40</f>
        <v>87.466201976299303</v>
      </c>
      <c r="AC44" s="30">
        <f>AA44+AB44</f>
        <v>87.466201976299303</v>
      </c>
      <c r="AD44" s="30"/>
      <c r="AE44" s="30"/>
      <c r="AF44" s="26" t="s">
        <v>69</v>
      </c>
      <c r="AG44" s="19" t="s">
        <v>11</v>
      </c>
      <c r="AH44" s="62"/>
      <c r="AI44" s="62">
        <f>$AG$16*E40</f>
        <v>1661.1620288653723</v>
      </c>
      <c r="AJ44" s="30">
        <f>$AH$16*E40</f>
        <v>114.64301954011847</v>
      </c>
      <c r="AK44" s="30">
        <f>AI44+AJ44</f>
        <v>1775.8050484054909</v>
      </c>
      <c r="AL44" s="30"/>
    </row>
    <row r="45" spans="1:42">
      <c r="A45" s="180" t="s">
        <v>84</v>
      </c>
      <c r="B45" s="19"/>
      <c r="C45" s="162">
        <v>0</v>
      </c>
      <c r="D45" s="27"/>
      <c r="E45" s="28"/>
      <c r="F45" s="22"/>
      <c r="G45" s="30"/>
      <c r="H45" s="26" t="s">
        <v>70</v>
      </c>
      <c r="I45" s="19" t="s">
        <v>11</v>
      </c>
      <c r="J45" s="62"/>
      <c r="K45" s="62">
        <f>$J$12*E40</f>
        <v>130.83575091580732</v>
      </c>
      <c r="L45" s="30">
        <f>$K$12*E40</f>
        <v>218.22349508419268</v>
      </c>
      <c r="M45" s="30">
        <f>SUM(K45:L45)</f>
        <v>349.05924600000003</v>
      </c>
      <c r="N45" s="22"/>
      <c r="O45" s="30"/>
      <c r="P45" s="26"/>
      <c r="Q45" s="19"/>
      <c r="R45" s="62"/>
      <c r="S45" s="62"/>
      <c r="T45" s="30"/>
      <c r="U45" s="30"/>
      <c r="V45" s="30"/>
      <c r="W45" s="30"/>
      <c r="X45" s="26"/>
      <c r="Y45" s="19"/>
      <c r="Z45" s="62"/>
      <c r="AA45" s="62"/>
      <c r="AB45" s="30"/>
      <c r="AC45" s="30"/>
      <c r="AD45" s="30"/>
      <c r="AE45" s="30"/>
      <c r="AF45" s="26"/>
      <c r="AG45" s="19"/>
      <c r="AH45" s="62"/>
      <c r="AI45" s="62"/>
      <c r="AJ45" s="30"/>
      <c r="AK45" s="30"/>
      <c r="AL45" s="30"/>
    </row>
    <row r="46" spans="1:42">
      <c r="A46" s="180" t="s">
        <v>85</v>
      </c>
      <c r="B46" s="19"/>
      <c r="C46" s="162">
        <v>0</v>
      </c>
      <c r="D46" s="27"/>
      <c r="E46" s="28"/>
      <c r="F46" s="22"/>
      <c r="G46" s="30"/>
      <c r="H46" s="26" t="s">
        <v>71</v>
      </c>
      <c r="I46" s="19" t="s">
        <v>11</v>
      </c>
      <c r="J46" s="62"/>
      <c r="K46" s="62">
        <f>$J$13*E40</f>
        <v>17.472410746261101</v>
      </c>
      <c r="L46" s="30">
        <f>$K$13*E40</f>
        <v>1085.8360252537389</v>
      </c>
      <c r="M46" s="30">
        <f>K46+L46</f>
        <v>1103.308436</v>
      </c>
      <c r="N46" s="22"/>
      <c r="O46" s="30"/>
      <c r="P46" s="26" t="s">
        <v>71</v>
      </c>
      <c r="Q46" s="19" t="s">
        <v>11</v>
      </c>
      <c r="R46" s="62"/>
      <c r="S46" s="62">
        <f>$Q$17*E40</f>
        <v>-18.544167482285076</v>
      </c>
      <c r="T46" s="30">
        <f>$R$17*E40</f>
        <v>375.96552479124972</v>
      </c>
      <c r="U46" s="30">
        <f>S46+T46</f>
        <v>357.42135730896462</v>
      </c>
      <c r="V46" s="30"/>
      <c r="W46" s="30"/>
      <c r="X46" s="26" t="s">
        <v>71</v>
      </c>
      <c r="Y46" s="19" t="s">
        <v>11</v>
      </c>
      <c r="Z46" s="62"/>
      <c r="AA46" s="62">
        <f>$Y$17*E40</f>
        <v>-18.544167482285076</v>
      </c>
      <c r="AB46" s="30">
        <f>$Z$17*E40</f>
        <v>375.96552479124972</v>
      </c>
      <c r="AC46" s="30">
        <f>AA46+AB46</f>
        <v>357.42135730896462</v>
      </c>
      <c r="AD46" s="30"/>
      <c r="AE46" s="30"/>
      <c r="AF46" s="26" t="s">
        <v>71</v>
      </c>
      <c r="AG46" s="19" t="s">
        <v>11</v>
      </c>
      <c r="AH46" s="62"/>
      <c r="AI46" s="62">
        <f>$AG$17*E40</f>
        <v>-18.544167482285076</v>
      </c>
      <c r="AJ46" s="30">
        <f>$AH$17*E40</f>
        <v>375.96552479124972</v>
      </c>
      <c r="AK46" s="30">
        <f>AI46+AJ46</f>
        <v>357.42135730896462</v>
      </c>
      <c r="AL46" s="30"/>
    </row>
    <row r="47" spans="1:42">
      <c r="A47" s="180" t="s">
        <v>86</v>
      </c>
      <c r="B47" s="19"/>
      <c r="C47" s="163">
        <v>0</v>
      </c>
      <c r="D47" s="80"/>
      <c r="E47" s="48"/>
      <c r="F47" s="30"/>
      <c r="G47" s="49"/>
      <c r="H47" s="26" t="s">
        <v>72</v>
      </c>
      <c r="I47" s="19" t="s">
        <v>11</v>
      </c>
      <c r="J47" s="62"/>
      <c r="K47" s="62">
        <f>$J$17*E40</f>
        <v>24.474277911626864</v>
      </c>
      <c r="L47" s="30">
        <f>$K$17*E40</f>
        <v>2350.6251120883735</v>
      </c>
      <c r="M47" s="30">
        <f>K47+L47</f>
        <v>2375.0993900000003</v>
      </c>
      <c r="N47" s="30"/>
      <c r="O47" s="148"/>
      <c r="P47" s="26" t="s">
        <v>73</v>
      </c>
      <c r="Q47" s="19" t="s">
        <v>11</v>
      </c>
      <c r="R47" s="62"/>
      <c r="S47" s="62">
        <f>$Q$18*E40</f>
        <v>31.756162831167586</v>
      </c>
      <c r="T47" s="30">
        <f>$R$18*E40</f>
        <v>3223.9276910748677</v>
      </c>
      <c r="U47" s="30">
        <f>S47+T47</f>
        <v>3255.6838539060354</v>
      </c>
      <c r="V47" s="30"/>
      <c r="W47" s="148"/>
      <c r="X47" s="26" t="s">
        <v>73</v>
      </c>
      <c r="Y47" s="19" t="s">
        <v>11</v>
      </c>
      <c r="Z47" s="62"/>
      <c r="AA47" s="62">
        <f>$Y$18*E40</f>
        <v>31.756162831167586</v>
      </c>
      <c r="AB47" s="30">
        <f>$Z$18*E40</f>
        <v>3223.9276910748677</v>
      </c>
      <c r="AC47" s="30">
        <f>AA47+AB47</f>
        <v>3255.6838539060354</v>
      </c>
      <c r="AD47" s="30"/>
      <c r="AE47" s="148"/>
      <c r="AF47" s="26" t="s">
        <v>73</v>
      </c>
      <c r="AG47" s="19" t="s">
        <v>11</v>
      </c>
      <c r="AH47" s="62"/>
      <c r="AI47" s="62">
        <f>$AG$18*E40</f>
        <v>31.756162831167586</v>
      </c>
      <c r="AJ47" s="30">
        <f>$AH$18*E40</f>
        <v>3223.9276910748677</v>
      </c>
      <c r="AK47" s="30">
        <f>AI47+AJ47</f>
        <v>3255.6838539060354</v>
      </c>
      <c r="AL47" s="149"/>
    </row>
    <row r="48" spans="1:42">
      <c r="A48" s="26"/>
      <c r="B48" s="19"/>
      <c r="C48" s="19"/>
      <c r="D48" s="26"/>
      <c r="E48" s="28"/>
      <c r="F48" s="26"/>
      <c r="G48" s="26"/>
      <c r="H48" s="29" t="s">
        <v>74</v>
      </c>
      <c r="I48" s="19" t="s">
        <v>11</v>
      </c>
      <c r="J48" s="19"/>
      <c r="K48" s="63">
        <f>SUM(K42:K47)</f>
        <v>2691.1063711830511</v>
      </c>
      <c r="L48" s="49">
        <f>SUM(L42:L47)</f>
        <v>3830.1048318169487</v>
      </c>
      <c r="M48" s="49">
        <f>SUM(M42:M47)</f>
        <v>6521.2112030000008</v>
      </c>
      <c r="N48" s="26"/>
      <c r="O48" s="26"/>
      <c r="P48" s="29" t="s">
        <v>74</v>
      </c>
      <c r="Q48" s="19" t="s">
        <v>11</v>
      </c>
      <c r="R48" s="19"/>
      <c r="S48" s="182">
        <f>SUM(S42:S47)</f>
        <v>3680.2090552479008</v>
      </c>
      <c r="T48" s="49">
        <f>SUM(T42:T47)</f>
        <v>3741.6394598996039</v>
      </c>
      <c r="U48" s="49">
        <f>SUM(U42:U47)</f>
        <v>7421.8485151475043</v>
      </c>
      <c r="V48" s="49"/>
      <c r="W48" s="26"/>
      <c r="X48" s="29" t="s">
        <v>74</v>
      </c>
      <c r="Y48" s="19" t="s">
        <v>11</v>
      </c>
      <c r="Z48" s="19"/>
      <c r="AA48" s="182">
        <f>SUM(AA42:AA47)</f>
        <v>6035.899897978893</v>
      </c>
      <c r="AB48" s="49">
        <f>SUM(AB42:AB47)</f>
        <v>3780.1788553090855</v>
      </c>
      <c r="AC48" s="49">
        <f>SUM(AC42:AC47)</f>
        <v>9816.0787532879785</v>
      </c>
      <c r="AD48" s="49"/>
      <c r="AE48" s="26"/>
      <c r="AF48" s="29" t="s">
        <v>74</v>
      </c>
      <c r="AG48" s="19" t="s">
        <v>11</v>
      </c>
      <c r="AH48" s="19"/>
      <c r="AI48" s="182">
        <f>SUM(AI42:AI47)</f>
        <v>2023.5740242142549</v>
      </c>
      <c r="AJ48" s="49">
        <f>SUM(AJ42:AJ47)</f>
        <v>3714.5362354062358</v>
      </c>
      <c r="AK48" s="49">
        <f>SUM(AK42:AK47)</f>
        <v>5738.110259620491</v>
      </c>
      <c r="AL48" s="19"/>
    </row>
    <row r="49" spans="1:38">
      <c r="A49" s="26"/>
      <c r="B49" s="19"/>
      <c r="C49" s="19"/>
      <c r="D49" s="26"/>
      <c r="E49" s="28"/>
      <c r="F49" s="26"/>
      <c r="G49" s="26"/>
      <c r="H49" s="29"/>
      <c r="I49" s="19"/>
      <c r="J49" s="19"/>
      <c r="K49" s="63"/>
      <c r="L49" s="49"/>
      <c r="M49" s="49"/>
      <c r="N49" s="26"/>
      <c r="O49" s="26"/>
      <c r="P49" s="19"/>
      <c r="Q49" s="19"/>
      <c r="R49" s="19"/>
      <c r="S49" s="19"/>
      <c r="T49" s="19"/>
      <c r="U49" s="19"/>
      <c r="V49" s="49"/>
      <c r="W49" s="26"/>
      <c r="X49" s="19"/>
      <c r="Y49" s="19"/>
      <c r="Z49" s="19"/>
      <c r="AA49" s="19"/>
      <c r="AB49" s="19"/>
      <c r="AC49" s="19"/>
      <c r="AD49" s="49"/>
      <c r="AE49" s="26"/>
      <c r="AF49" s="19"/>
      <c r="AG49" s="19"/>
      <c r="AH49" s="19"/>
      <c r="AI49" s="19"/>
      <c r="AJ49" s="19"/>
      <c r="AK49" s="19"/>
      <c r="AL49" s="19"/>
    </row>
    <row r="50" spans="1:38" s="35" customFormat="1">
      <c r="A50" s="31"/>
      <c r="B50" s="32"/>
      <c r="C50" s="222"/>
      <c r="D50" s="54"/>
      <c r="E50" s="55"/>
      <c r="F50" s="34"/>
      <c r="G50" s="50"/>
      <c r="H50" s="50"/>
      <c r="I50" s="50"/>
      <c r="J50" s="50"/>
      <c r="K50" s="64" t="s">
        <v>75</v>
      </c>
      <c r="L50" s="50"/>
      <c r="M50" s="50"/>
      <c r="N50" s="34"/>
      <c r="O50" s="34"/>
      <c r="P50" s="64"/>
      <c r="Q50" s="64"/>
      <c r="R50" s="64"/>
      <c r="S50" s="64" t="s">
        <v>24</v>
      </c>
      <c r="T50" s="64"/>
      <c r="U50" s="151">
        <f>U48/M48</f>
        <v>1.1381089009558802</v>
      </c>
      <c r="V50" s="151"/>
      <c r="W50" s="34"/>
      <c r="X50" s="64"/>
      <c r="Y50" s="64"/>
      <c r="Z50" s="64"/>
      <c r="AA50" s="64" t="s">
        <v>24</v>
      </c>
      <c r="AB50" s="64"/>
      <c r="AC50" s="151">
        <f>AC48/M48</f>
        <v>1.5052539241133942</v>
      </c>
      <c r="AD50" s="155"/>
      <c r="AE50" s="34"/>
      <c r="AF50" s="64"/>
      <c r="AG50" s="64"/>
      <c r="AH50" s="64"/>
      <c r="AI50" s="64" t="s">
        <v>24</v>
      </c>
      <c r="AJ50" s="64"/>
      <c r="AK50" s="151">
        <f>AK48/M48</f>
        <v>0.87991480125359933</v>
      </c>
      <c r="AL50" s="151"/>
    </row>
  </sheetData>
  <mergeCells count="20">
    <mergeCell ref="W22:AC22"/>
    <mergeCell ref="W23:Z23"/>
    <mergeCell ref="AE22:AK22"/>
    <mergeCell ref="AE23:AH23"/>
    <mergeCell ref="AM38:AP38"/>
    <mergeCell ref="A1:S1"/>
    <mergeCell ref="O23:R23"/>
    <mergeCell ref="O22:U22"/>
    <mergeCell ref="H22:M22"/>
    <mergeCell ref="AM22:AP22"/>
    <mergeCell ref="P12:S12"/>
    <mergeCell ref="X12:AA12"/>
    <mergeCell ref="X3:AA3"/>
    <mergeCell ref="AF3:AI3"/>
    <mergeCell ref="AF12:AI12"/>
    <mergeCell ref="P2:S2"/>
    <mergeCell ref="X2:AA2"/>
    <mergeCell ref="AF2:AI2"/>
    <mergeCell ref="H2:L2"/>
    <mergeCell ref="P3: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85CB-358A-4B29-A164-03A5414BF7EB}">
  <sheetPr codeName="Sheet8">
    <tabColor theme="9" tint="0.39997558519241921"/>
  </sheetPr>
  <dimension ref="A1:AR34"/>
  <sheetViews>
    <sheetView zoomScale="80" zoomScaleNormal="80" workbookViewId="0">
      <pane xSplit="6" ySplit="22" topLeftCell="G23" activePane="bottomRight" state="frozen"/>
      <selection pane="topRight" activeCell="F1" sqref="F1"/>
      <selection pane="bottomLeft" activeCell="A3" sqref="A3"/>
      <selection pane="bottomRight" activeCell="A35" sqref="A35"/>
    </sheetView>
  </sheetViews>
  <sheetFormatPr defaultColWidth="8.85546875" defaultRowHeight="15"/>
  <cols>
    <col min="1" max="1" width="15" bestFit="1" customWidth="1"/>
    <col min="3" max="3" width="11.28515625" customWidth="1"/>
    <col min="7" max="7" width="3.85546875" customWidth="1"/>
    <col min="8" max="8" width="1.42578125" customWidth="1"/>
    <col min="9" max="9" width="18.85546875" bestFit="1" customWidth="1"/>
    <col min="11" max="11" width="9.140625" customWidth="1"/>
    <col min="12" max="13" width="11.42578125" customWidth="1"/>
    <col min="14" max="14" width="9.42578125" customWidth="1"/>
    <col min="15" max="15" width="3.140625" customWidth="1"/>
    <col min="16" max="16" width="1.42578125" customWidth="1"/>
    <col min="17" max="17" width="31.42578125" customWidth="1"/>
    <col min="18" max="18" width="10.42578125" customWidth="1"/>
    <col min="19" max="19" width="10.7109375" customWidth="1"/>
    <col min="20" max="20" width="10.42578125" customWidth="1"/>
    <col min="21" max="21" width="11.85546875" customWidth="1"/>
    <col min="22" max="22" width="12" customWidth="1"/>
    <col min="23" max="23" width="5.42578125" customWidth="1"/>
    <col min="24" max="24" width="1.42578125" customWidth="1"/>
    <col min="25" max="25" width="31.42578125" customWidth="1"/>
    <col min="26" max="26" width="10.42578125" customWidth="1"/>
    <col min="27" max="27" width="10.7109375" customWidth="1"/>
    <col min="28" max="28" width="10.42578125" customWidth="1"/>
    <col min="29" max="29" width="11.85546875" customWidth="1"/>
    <col min="30" max="30" width="12" customWidth="1"/>
    <col min="31" max="31" width="6.42578125" customWidth="1"/>
    <col min="32" max="32" width="2.28515625" customWidth="1"/>
    <col min="33" max="33" width="31.42578125" customWidth="1"/>
    <col min="34" max="34" width="10.42578125" customWidth="1"/>
    <col min="35" max="35" width="10.7109375" customWidth="1"/>
    <col min="36" max="36" width="10.42578125" customWidth="1"/>
    <col min="37" max="37" width="11.85546875" customWidth="1"/>
    <col min="38" max="38" width="12" customWidth="1"/>
    <col min="39" max="39" width="9.140625" customWidth="1"/>
    <col min="40" max="40" width="18" customWidth="1"/>
    <col min="41" max="42" width="16.42578125" customWidth="1"/>
    <col min="43" max="43" width="13.42578125" customWidth="1"/>
  </cols>
  <sheetData>
    <row r="1" spans="1:38" s="197" customFormat="1" ht="21" customHeight="1">
      <c r="A1" s="436" t="s">
        <v>87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</row>
    <row r="2" spans="1:38" ht="21" customHeight="1">
      <c r="A2" s="264"/>
      <c r="B2" s="264"/>
      <c r="C2" s="264"/>
      <c r="D2" s="264"/>
      <c r="E2" s="264"/>
      <c r="F2" s="264"/>
      <c r="G2" s="264"/>
      <c r="H2" s="264"/>
      <c r="I2" s="321"/>
      <c r="J2" s="321"/>
      <c r="K2" s="321"/>
      <c r="L2" s="321"/>
      <c r="M2" s="321"/>
      <c r="N2" s="264"/>
      <c r="O2" s="264"/>
      <c r="P2" s="264"/>
      <c r="Q2" s="433" t="s">
        <v>88</v>
      </c>
      <c r="R2" s="434"/>
      <c r="S2" s="434"/>
      <c r="T2" s="435"/>
      <c r="U2" s="264"/>
      <c r="V2" s="264"/>
      <c r="W2" s="264"/>
      <c r="X2" s="264"/>
      <c r="Y2" s="433" t="s">
        <v>35</v>
      </c>
      <c r="Z2" s="434"/>
      <c r="AA2" s="434"/>
      <c r="AB2" s="435"/>
      <c r="AC2" s="264"/>
      <c r="AD2" s="264"/>
      <c r="AE2" s="264"/>
      <c r="AF2" s="264"/>
      <c r="AG2" s="433" t="s">
        <v>36</v>
      </c>
      <c r="AH2" s="434"/>
      <c r="AI2" s="434"/>
      <c r="AJ2" s="435"/>
      <c r="AK2" s="264"/>
      <c r="AL2" s="264"/>
    </row>
    <row r="3" spans="1:38" ht="14.25" customHeight="1">
      <c r="A3" s="58"/>
      <c r="B3" s="59"/>
      <c r="C3" s="59"/>
      <c r="D3" s="59"/>
      <c r="E3" s="59"/>
      <c r="F3" s="59"/>
      <c r="G3" s="166"/>
      <c r="H3" s="166"/>
      <c r="I3" s="422" t="s">
        <v>89</v>
      </c>
      <c r="J3" s="423"/>
      <c r="K3" s="423"/>
      <c r="L3" s="423"/>
      <c r="M3" s="424"/>
      <c r="N3" s="296"/>
      <c r="O3" s="166"/>
      <c r="P3" s="166"/>
      <c r="Q3" s="422" t="s">
        <v>38</v>
      </c>
      <c r="R3" s="423"/>
      <c r="S3" s="423"/>
      <c r="T3" s="424"/>
      <c r="U3" s="59"/>
      <c r="V3" s="59"/>
      <c r="W3" s="59"/>
      <c r="X3" s="166"/>
      <c r="Y3" s="425" t="s">
        <v>38</v>
      </c>
      <c r="Z3" s="426"/>
      <c r="AA3" s="426"/>
      <c r="AB3" s="427"/>
      <c r="AC3" s="59"/>
      <c r="AD3" s="59"/>
      <c r="AE3" s="59"/>
      <c r="AF3" s="166"/>
      <c r="AG3" s="425" t="s">
        <v>38</v>
      </c>
      <c r="AH3" s="426"/>
      <c r="AI3" s="426"/>
      <c r="AJ3" s="427"/>
      <c r="AK3" s="59"/>
      <c r="AL3" s="59"/>
    </row>
    <row r="4" spans="1:38" ht="14.25" customHeight="1">
      <c r="A4" s="58"/>
      <c r="B4" s="59"/>
      <c r="C4" s="59"/>
      <c r="D4" s="59"/>
      <c r="E4" s="59"/>
      <c r="F4" s="59"/>
      <c r="G4" s="166"/>
      <c r="H4" s="166"/>
      <c r="I4" s="198"/>
      <c r="J4" s="199"/>
      <c r="K4" s="214" t="s">
        <v>12</v>
      </c>
      <c r="L4" s="214" t="s">
        <v>37</v>
      </c>
      <c r="M4" s="324" t="s">
        <v>16</v>
      </c>
      <c r="N4" s="166"/>
      <c r="O4" s="166"/>
      <c r="P4" s="166"/>
      <c r="Q4" s="338"/>
      <c r="R4" s="214" t="s">
        <v>12</v>
      </c>
      <c r="S4" s="214" t="s">
        <v>37</v>
      </c>
      <c r="T4" s="324" t="s">
        <v>16</v>
      </c>
      <c r="U4" s="59"/>
      <c r="V4" s="59"/>
      <c r="W4" s="59"/>
      <c r="X4" s="166"/>
      <c r="Y4" s="338"/>
      <c r="Z4" s="339" t="s">
        <v>12</v>
      </c>
      <c r="AA4" s="339" t="s">
        <v>37</v>
      </c>
      <c r="AB4" s="340" t="s">
        <v>16</v>
      </c>
      <c r="AC4" s="59"/>
      <c r="AD4" s="59"/>
      <c r="AE4" s="59"/>
      <c r="AF4" s="166"/>
      <c r="AG4" s="331"/>
      <c r="AH4" s="335" t="s">
        <v>12</v>
      </c>
      <c r="AI4" s="335" t="s">
        <v>37</v>
      </c>
      <c r="AJ4" s="336" t="s">
        <v>16</v>
      </c>
      <c r="AK4" s="59"/>
      <c r="AL4" s="59"/>
    </row>
    <row r="5" spans="1:38" ht="14.25" customHeight="1">
      <c r="A5" s="58"/>
      <c r="B5" s="59"/>
      <c r="C5" s="59"/>
      <c r="D5" s="59"/>
      <c r="E5" s="59"/>
      <c r="F5" s="59"/>
      <c r="G5" s="166"/>
      <c r="H5" s="166"/>
      <c r="I5" s="213" t="s">
        <v>39</v>
      </c>
      <c r="J5" s="43"/>
      <c r="K5" s="302">
        <v>25.85</v>
      </c>
      <c r="L5" s="302">
        <v>0</v>
      </c>
      <c r="M5" s="304">
        <v>25.85</v>
      </c>
      <c r="N5" s="166"/>
      <c r="O5" s="166"/>
      <c r="P5" s="166"/>
      <c r="Q5" s="308" t="s">
        <v>39</v>
      </c>
      <c r="R5" s="312">
        <v>29.097610156886343</v>
      </c>
      <c r="S5" s="312">
        <v>0</v>
      </c>
      <c r="T5" s="313">
        <v>29.097610156886343</v>
      </c>
      <c r="U5" s="59"/>
      <c r="V5" s="59"/>
      <c r="W5" s="59"/>
      <c r="X5" s="166"/>
      <c r="Y5" s="319" t="s">
        <v>39</v>
      </c>
      <c r="Z5" s="302">
        <v>43.356502850029834</v>
      </c>
      <c r="AA5" s="302">
        <v>0.24316628787601294</v>
      </c>
      <c r="AB5" s="304">
        <v>43.599669137905842</v>
      </c>
      <c r="AC5" s="59"/>
      <c r="AD5" s="59"/>
      <c r="AE5" s="59"/>
      <c r="AF5" s="295"/>
      <c r="AG5" s="309" t="s">
        <v>39</v>
      </c>
      <c r="AH5" s="302">
        <v>29.097610156886343</v>
      </c>
      <c r="AI5" s="302">
        <v>0</v>
      </c>
      <c r="AJ5" s="304">
        <v>29.097610156886343</v>
      </c>
      <c r="AK5" s="59"/>
      <c r="AL5" s="59"/>
    </row>
    <row r="6" spans="1:38" ht="14.25" customHeight="1">
      <c r="A6" s="58"/>
      <c r="B6" s="59"/>
      <c r="C6" s="59"/>
      <c r="D6" s="59"/>
      <c r="E6" s="59"/>
      <c r="F6" s="59"/>
      <c r="G6" s="166"/>
      <c r="H6" s="166"/>
      <c r="I6" s="190" t="s">
        <v>90</v>
      </c>
      <c r="J6" s="43"/>
      <c r="K6" s="303">
        <v>5.7068000000000001E-2</v>
      </c>
      <c r="L6" s="303">
        <v>1.2670000000000001E-3</v>
      </c>
      <c r="M6" s="305">
        <v>5.8334999999999998E-2</v>
      </c>
      <c r="N6" s="166"/>
      <c r="O6" s="166"/>
      <c r="P6" s="166"/>
      <c r="Q6" s="308" t="s">
        <v>42</v>
      </c>
      <c r="R6" s="314">
        <v>0.60380931494179313</v>
      </c>
      <c r="S6" s="314">
        <v>1.0297157911143889E-2</v>
      </c>
      <c r="T6" s="315">
        <v>0.61410647285293707</v>
      </c>
      <c r="U6" s="59"/>
      <c r="V6" s="59"/>
      <c r="W6" s="59"/>
      <c r="X6" s="166"/>
      <c r="Y6" s="308" t="s">
        <v>42</v>
      </c>
      <c r="Z6" s="303">
        <v>0</v>
      </c>
      <c r="AA6" s="303">
        <v>0</v>
      </c>
      <c r="AB6" s="305">
        <v>0</v>
      </c>
      <c r="AC6" s="59"/>
      <c r="AD6" s="59"/>
      <c r="AE6" s="59"/>
      <c r="AF6" s="295"/>
      <c r="AG6" s="309" t="s">
        <v>42</v>
      </c>
      <c r="AH6" s="303">
        <v>0</v>
      </c>
      <c r="AI6" s="303">
        <v>0</v>
      </c>
      <c r="AJ6" s="305">
        <v>0</v>
      </c>
      <c r="AK6" s="59"/>
      <c r="AL6" s="59"/>
    </row>
    <row r="7" spans="1:38" ht="14.25" customHeight="1">
      <c r="A7" s="58"/>
      <c r="B7" s="59"/>
      <c r="C7" s="59"/>
      <c r="D7" s="59"/>
      <c r="E7" s="59"/>
      <c r="F7" s="59"/>
      <c r="G7" s="166"/>
      <c r="H7" s="166"/>
      <c r="I7" s="190" t="s">
        <v>91</v>
      </c>
      <c r="J7" s="43"/>
      <c r="K7" s="303">
        <v>5.4366000000000005E-2</v>
      </c>
      <c r="L7" s="303">
        <v>1.2670000000000001E-3</v>
      </c>
      <c r="M7" s="305">
        <v>5.5633000000000002E-2</v>
      </c>
      <c r="N7" s="166"/>
      <c r="O7" s="166"/>
      <c r="P7" s="166"/>
      <c r="Q7" s="308" t="s">
        <v>44</v>
      </c>
      <c r="R7" s="314">
        <v>0</v>
      </c>
      <c r="S7" s="314">
        <v>3.918459579378311E-3</v>
      </c>
      <c r="T7" s="315">
        <v>3.918459579378311E-3</v>
      </c>
      <c r="U7" s="59"/>
      <c r="V7" s="59"/>
      <c r="W7" s="59"/>
      <c r="X7" s="166"/>
      <c r="Y7" s="308" t="s">
        <v>44</v>
      </c>
      <c r="Z7" s="303">
        <v>0</v>
      </c>
      <c r="AA7" s="303">
        <v>3.918459579378311E-3</v>
      </c>
      <c r="AB7" s="305">
        <v>3.918459579378311E-3</v>
      </c>
      <c r="AC7" s="59"/>
      <c r="AD7" s="59"/>
      <c r="AE7" s="59"/>
      <c r="AF7" s="295"/>
      <c r="AG7" s="309" t="s">
        <v>44</v>
      </c>
      <c r="AH7" s="303">
        <v>7.1816978237685708E-2</v>
      </c>
      <c r="AI7" s="303">
        <v>5.1432018072883291E-3</v>
      </c>
      <c r="AJ7" s="305">
        <v>7.6960180044974028E-2</v>
      </c>
      <c r="AK7" s="59"/>
      <c r="AL7" s="59"/>
    </row>
    <row r="8" spans="1:38" ht="14.25" customHeight="1">
      <c r="A8" s="58"/>
      <c r="B8" s="59"/>
      <c r="C8" s="59"/>
      <c r="D8" s="59"/>
      <c r="E8" s="59"/>
      <c r="F8" s="59"/>
      <c r="G8" s="166"/>
      <c r="H8" s="166"/>
      <c r="I8" s="190" t="s">
        <v>92</v>
      </c>
      <c r="J8" s="43"/>
      <c r="K8" s="303">
        <v>4.7390000000000002E-2</v>
      </c>
      <c r="L8" s="303">
        <v>1.2670000000000001E-3</v>
      </c>
      <c r="M8" s="305">
        <v>4.8656999999999992E-2</v>
      </c>
      <c r="N8" s="166"/>
      <c r="O8" s="166"/>
      <c r="P8" s="166"/>
      <c r="Q8" s="308" t="s">
        <v>46</v>
      </c>
      <c r="R8" s="314">
        <v>-8.6499021552362591E-4</v>
      </c>
      <c r="S8" s="314">
        <v>1.8448860866686262E-2</v>
      </c>
      <c r="T8" s="315">
        <v>1.7583870651162636E-2</v>
      </c>
      <c r="U8" s="59"/>
      <c r="V8" s="59"/>
      <c r="W8" s="59"/>
      <c r="X8" s="166"/>
      <c r="Y8" s="308" t="s">
        <v>46</v>
      </c>
      <c r="Z8" s="303">
        <v>-8.6499021552362591E-4</v>
      </c>
      <c r="AA8" s="303">
        <v>1.8448860866686262E-2</v>
      </c>
      <c r="AB8" s="305">
        <v>1.7583870651162636E-2</v>
      </c>
      <c r="AC8" s="59"/>
      <c r="AD8" s="59"/>
      <c r="AE8" s="59"/>
      <c r="AF8" s="166"/>
      <c r="AG8" s="308" t="s">
        <v>46</v>
      </c>
      <c r="AH8" s="303">
        <v>-8.6499021552362591E-4</v>
      </c>
      <c r="AI8" s="303">
        <v>1.8448860866686262E-2</v>
      </c>
      <c r="AJ8" s="305">
        <v>1.7583870651162636E-2</v>
      </c>
      <c r="AK8" s="59"/>
      <c r="AL8" s="59"/>
    </row>
    <row r="9" spans="1:38" ht="14.25" customHeight="1">
      <c r="A9" s="58"/>
      <c r="B9" s="59"/>
      <c r="C9" s="59"/>
      <c r="D9" s="59"/>
      <c r="E9" s="59"/>
      <c r="F9" s="59"/>
      <c r="G9" s="166"/>
      <c r="H9" s="166"/>
      <c r="I9" s="213" t="s">
        <v>93</v>
      </c>
      <c r="J9" s="43"/>
      <c r="K9" s="303">
        <v>8.9510000000000006E-3</v>
      </c>
      <c r="L9" s="303">
        <v>3.4900000000000003E-4</v>
      </c>
      <c r="M9" s="305">
        <v>9.300000000000001E-3</v>
      </c>
      <c r="N9" s="166"/>
      <c r="O9" s="166"/>
      <c r="P9" s="166"/>
      <c r="Q9" s="308" t="s">
        <v>48</v>
      </c>
      <c r="R9" s="314">
        <v>1.4047670012902582E-3</v>
      </c>
      <c r="S9" s="314">
        <v>0.14261380567437265</v>
      </c>
      <c r="T9" s="315">
        <v>0.1440185726756629</v>
      </c>
      <c r="U9" s="59"/>
      <c r="V9" s="59"/>
      <c r="W9" s="59"/>
      <c r="X9" s="166"/>
      <c r="Y9" s="308" t="s">
        <v>48</v>
      </c>
      <c r="Z9" s="303">
        <v>1.4047670012902582E-3</v>
      </c>
      <c r="AA9" s="303">
        <v>0.14261380567437265</v>
      </c>
      <c r="AB9" s="305">
        <v>0.1440185726756629</v>
      </c>
      <c r="AC9" s="59"/>
      <c r="AD9" s="59"/>
      <c r="AE9" s="59"/>
      <c r="AF9" s="166"/>
      <c r="AG9" s="308" t="s">
        <v>48</v>
      </c>
      <c r="AH9" s="303">
        <v>1.4047670012902582E-3</v>
      </c>
      <c r="AI9" s="303">
        <v>0.14261380567437265</v>
      </c>
      <c r="AJ9" s="305">
        <v>0.1440185726756629</v>
      </c>
      <c r="AK9" s="59"/>
      <c r="AL9" s="59"/>
    </row>
    <row r="10" spans="1:38" ht="14.25" customHeight="1">
      <c r="A10" s="58"/>
      <c r="B10" s="59"/>
      <c r="C10" s="59"/>
      <c r="D10" s="59"/>
      <c r="E10" s="59"/>
      <c r="F10" s="59"/>
      <c r="G10" s="166"/>
      <c r="H10" s="166"/>
      <c r="I10" s="213" t="s">
        <v>55</v>
      </c>
      <c r="J10" s="43"/>
      <c r="K10" s="303">
        <v>-7.5899999999999991E-4</v>
      </c>
      <c r="L10" s="303">
        <v>0.16319150652953471</v>
      </c>
      <c r="M10" s="305">
        <v>0.1624325065295347</v>
      </c>
      <c r="N10" s="296"/>
      <c r="O10" s="166"/>
      <c r="P10" s="166"/>
      <c r="Q10" s="322" t="s">
        <v>49</v>
      </c>
      <c r="R10" s="320"/>
      <c r="S10" s="320"/>
      <c r="T10" s="316"/>
      <c r="U10" s="59"/>
      <c r="V10" s="59"/>
      <c r="W10" s="59"/>
      <c r="X10" s="166"/>
      <c r="Y10" s="326" t="s">
        <v>49</v>
      </c>
      <c r="Z10" s="318"/>
      <c r="AA10" s="318"/>
      <c r="AB10" s="307"/>
      <c r="AC10" s="289"/>
      <c r="AD10" s="59"/>
      <c r="AE10" s="59"/>
      <c r="AF10" s="166"/>
      <c r="AG10" s="191" t="s">
        <v>49</v>
      </c>
      <c r="AH10" s="318"/>
      <c r="AI10" s="318"/>
      <c r="AJ10" s="307"/>
      <c r="AK10" s="59"/>
      <c r="AL10" s="59"/>
    </row>
    <row r="11" spans="1:38" ht="14.25" customHeight="1">
      <c r="A11" s="58"/>
      <c r="B11" s="59"/>
      <c r="C11" s="59"/>
      <c r="D11" s="59"/>
      <c r="E11" s="59"/>
      <c r="F11" s="59"/>
      <c r="G11" s="166"/>
      <c r="H11" s="166"/>
      <c r="I11" s="322" t="s">
        <v>49</v>
      </c>
      <c r="J11" s="317"/>
      <c r="K11" s="318"/>
      <c r="L11" s="318"/>
      <c r="M11" s="318"/>
      <c r="N11" s="296"/>
      <c r="O11" s="166"/>
      <c r="P11" s="166"/>
      <c r="Q11" s="166"/>
      <c r="R11" s="199"/>
      <c r="S11" s="199"/>
      <c r="T11" s="199"/>
      <c r="U11" s="59"/>
      <c r="V11" s="59"/>
      <c r="W11" s="59"/>
      <c r="X11" s="166"/>
      <c r="AC11" s="59"/>
      <c r="AD11" s="59"/>
      <c r="AE11" s="59"/>
      <c r="AF11" s="166"/>
      <c r="AK11" s="59"/>
      <c r="AL11" s="59"/>
    </row>
    <row r="12" spans="1:38" ht="14.25" customHeight="1">
      <c r="A12" s="58"/>
      <c r="B12" s="59"/>
      <c r="C12" s="59"/>
      <c r="D12" s="59"/>
      <c r="E12" s="59"/>
      <c r="F12" s="59"/>
      <c r="G12" s="166"/>
      <c r="H12" s="166"/>
      <c r="I12" s="166"/>
      <c r="J12" s="43"/>
      <c r="K12" s="43"/>
      <c r="L12" s="43"/>
      <c r="M12" s="43"/>
      <c r="N12" s="166"/>
      <c r="O12" s="166"/>
      <c r="P12" s="166"/>
      <c r="Q12" s="422" t="s">
        <v>52</v>
      </c>
      <c r="R12" s="423"/>
      <c r="S12" s="423"/>
      <c r="T12" s="424"/>
      <c r="U12" s="59"/>
      <c r="V12" s="261"/>
      <c r="W12" s="261"/>
      <c r="X12" s="166"/>
      <c r="Y12" s="425" t="s">
        <v>52</v>
      </c>
      <c r="Z12" s="426"/>
      <c r="AA12" s="426"/>
      <c r="AB12" s="427"/>
      <c r="AC12" s="59"/>
      <c r="AD12" s="261"/>
      <c r="AE12" s="261"/>
      <c r="AF12" s="166"/>
      <c r="AG12" s="425" t="s">
        <v>52</v>
      </c>
      <c r="AH12" s="426"/>
      <c r="AI12" s="426"/>
      <c r="AJ12" s="427"/>
      <c r="AK12" s="59"/>
      <c r="AL12" s="261"/>
    </row>
    <row r="13" spans="1:38" ht="14.25" customHeight="1">
      <c r="A13" s="58"/>
      <c r="B13" s="59"/>
      <c r="C13" s="59"/>
      <c r="D13" s="59"/>
      <c r="E13" s="59"/>
      <c r="F13" s="59"/>
      <c r="G13" s="166"/>
      <c r="H13" s="166"/>
      <c r="I13" s="166"/>
      <c r="J13" s="43"/>
      <c r="K13" s="43"/>
      <c r="L13" s="43"/>
      <c r="M13" s="43"/>
      <c r="N13" s="166"/>
      <c r="O13" s="166"/>
      <c r="P13" s="166"/>
      <c r="Q13" s="338"/>
      <c r="R13" s="214" t="s">
        <v>12</v>
      </c>
      <c r="S13" s="214" t="s">
        <v>37</v>
      </c>
      <c r="T13" s="324" t="s">
        <v>16</v>
      </c>
      <c r="U13" s="289"/>
      <c r="V13" s="59"/>
      <c r="W13" s="59"/>
      <c r="X13" s="166"/>
      <c r="Y13" s="338"/>
      <c r="Z13" s="339" t="s">
        <v>12</v>
      </c>
      <c r="AA13" s="339" t="s">
        <v>37</v>
      </c>
      <c r="AB13" s="340" t="s">
        <v>16</v>
      </c>
      <c r="AC13" s="59"/>
      <c r="AD13" s="59"/>
      <c r="AE13" s="59"/>
      <c r="AF13" s="295"/>
      <c r="AG13" s="338"/>
      <c r="AH13" s="339" t="s">
        <v>12</v>
      </c>
      <c r="AI13" s="339" t="s">
        <v>37</v>
      </c>
      <c r="AJ13" s="340" t="s">
        <v>16</v>
      </c>
      <c r="AK13" s="59"/>
      <c r="AL13" s="59"/>
    </row>
    <row r="14" spans="1:38" ht="14.25" customHeight="1">
      <c r="A14" s="58"/>
      <c r="B14" s="59"/>
      <c r="C14" s="59"/>
      <c r="D14" s="59"/>
      <c r="E14" s="59"/>
      <c r="F14" s="59"/>
      <c r="G14" s="166"/>
      <c r="H14" s="166"/>
      <c r="I14" s="166"/>
      <c r="J14" s="43"/>
      <c r="K14" s="43"/>
      <c r="L14" s="43"/>
      <c r="M14" s="43"/>
      <c r="N14" s="166"/>
      <c r="O14" s="166"/>
      <c r="P14" s="166"/>
      <c r="Q14" s="308" t="s">
        <v>39</v>
      </c>
      <c r="R14" s="312">
        <v>29.097610156886343</v>
      </c>
      <c r="S14" s="302">
        <v>0</v>
      </c>
      <c r="T14" s="312">
        <v>29.097610156886343</v>
      </c>
      <c r="U14" s="59"/>
      <c r="V14" s="59"/>
      <c r="W14" s="59"/>
      <c r="X14" s="166"/>
      <c r="Y14" s="319" t="s">
        <v>39</v>
      </c>
      <c r="Z14" s="302">
        <v>501.89065855250084</v>
      </c>
      <c r="AA14" s="302">
        <v>7.7349531222224197</v>
      </c>
      <c r="AB14" s="304">
        <v>509.6256116747233</v>
      </c>
      <c r="AC14" s="59"/>
      <c r="AD14" s="59"/>
      <c r="AE14" s="59"/>
      <c r="AF14" s="295"/>
      <c r="AG14" s="309" t="s">
        <v>39</v>
      </c>
      <c r="AH14" s="302">
        <v>29.1</v>
      </c>
      <c r="AI14" s="302">
        <v>0</v>
      </c>
      <c r="AJ14" s="304">
        <v>29.1</v>
      </c>
      <c r="AK14" s="59"/>
      <c r="AL14" s="59"/>
    </row>
    <row r="15" spans="1:38" ht="14.25" customHeight="1">
      <c r="A15" s="58"/>
      <c r="B15" s="59"/>
      <c r="C15" s="59"/>
      <c r="D15" s="59"/>
      <c r="E15" s="59"/>
      <c r="F15" s="59"/>
      <c r="G15" s="166"/>
      <c r="H15" s="166"/>
      <c r="I15" s="166"/>
      <c r="J15" s="43"/>
      <c r="K15" s="43"/>
      <c r="L15" s="43"/>
      <c r="M15" s="43"/>
      <c r="N15" s="166"/>
      <c r="O15" s="166"/>
      <c r="P15" s="166"/>
      <c r="Q15" s="308" t="s">
        <v>42</v>
      </c>
      <c r="R15" s="303">
        <v>0.6249848683706285</v>
      </c>
      <c r="S15" s="303">
        <v>1.0224830240947344E-2</v>
      </c>
      <c r="T15" s="305">
        <v>0.63520969861157583</v>
      </c>
      <c r="U15" s="59"/>
      <c r="V15" s="59"/>
      <c r="W15" s="59"/>
      <c r="X15" s="166"/>
      <c r="Y15" s="308" t="s">
        <v>42</v>
      </c>
      <c r="Z15" s="303">
        <v>0</v>
      </c>
      <c r="AA15" s="303">
        <v>0</v>
      </c>
      <c r="AB15" s="305">
        <v>0</v>
      </c>
      <c r="AC15" s="59"/>
      <c r="AD15" s="59"/>
      <c r="AE15" s="59"/>
      <c r="AF15" s="166"/>
      <c r="AG15" s="308" t="s">
        <v>42</v>
      </c>
      <c r="AH15" s="303">
        <v>0</v>
      </c>
      <c r="AI15" s="303">
        <v>0</v>
      </c>
      <c r="AJ15" s="305">
        <v>0</v>
      </c>
      <c r="AK15" s="59"/>
      <c r="AL15" s="59"/>
    </row>
    <row r="16" spans="1:38" ht="14.25" customHeight="1">
      <c r="A16" s="58"/>
      <c r="B16" s="59"/>
      <c r="C16" s="59"/>
      <c r="D16" s="59"/>
      <c r="E16" s="59"/>
      <c r="F16" s="59"/>
      <c r="G16" s="166"/>
      <c r="H16" s="166"/>
      <c r="I16" s="166"/>
      <c r="J16" s="166"/>
      <c r="K16" s="166"/>
      <c r="L16" s="165"/>
      <c r="M16" s="166"/>
      <c r="N16" s="166"/>
      <c r="O16" s="166"/>
      <c r="P16" s="166"/>
      <c r="Q16" s="308" t="s">
        <v>44</v>
      </c>
      <c r="R16" s="303">
        <v>0</v>
      </c>
      <c r="S16" s="303">
        <v>3.8691587178757546E-3</v>
      </c>
      <c r="T16" s="305">
        <v>3.8691587178757546E-3</v>
      </c>
      <c r="U16" s="59"/>
      <c r="V16" s="59"/>
      <c r="W16" s="59"/>
      <c r="X16" s="166"/>
      <c r="Y16" s="308" t="s">
        <v>44</v>
      </c>
      <c r="Z16" s="303">
        <v>0</v>
      </c>
      <c r="AA16" s="303">
        <v>3.8691587178757546E-3</v>
      </c>
      <c r="AB16" s="305">
        <v>3.8691587178757546E-3</v>
      </c>
      <c r="AC16" s="59"/>
      <c r="AD16" s="59"/>
      <c r="AE16" s="59"/>
      <c r="AF16" s="166"/>
      <c r="AG16" s="308" t="s">
        <v>44</v>
      </c>
      <c r="AH16" s="303">
        <v>7.3483235816392656E-2</v>
      </c>
      <c r="AI16" s="303">
        <v>5.0713536025886255E-3</v>
      </c>
      <c r="AJ16" s="305">
        <v>7.8554589418981288E-2</v>
      </c>
      <c r="AK16" s="59"/>
      <c r="AL16" s="59"/>
    </row>
    <row r="17" spans="1:44" s="35" customFormat="1" ht="14.2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8"/>
      <c r="M17" s="59"/>
      <c r="N17" s="59"/>
      <c r="O17" s="59"/>
      <c r="P17" s="287"/>
      <c r="Q17" s="308" t="s">
        <v>46</v>
      </c>
      <c r="R17" s="303">
        <v>-8.2032059994183301E-4</v>
      </c>
      <c r="S17" s="303">
        <v>1.6631227319793405E-2</v>
      </c>
      <c r="T17" s="305">
        <v>1.5810906719851574E-2</v>
      </c>
      <c r="U17" s="289"/>
      <c r="V17" s="59"/>
      <c r="W17" s="59"/>
      <c r="X17" s="59"/>
      <c r="Y17" s="308" t="s">
        <v>46</v>
      </c>
      <c r="Z17" s="303">
        <v>-8.2032059994183301E-4</v>
      </c>
      <c r="AA17" s="303">
        <v>1.6631227319793405E-2</v>
      </c>
      <c r="AB17" s="305">
        <v>1.5810906719851574E-2</v>
      </c>
      <c r="AC17" s="59"/>
      <c r="AD17" s="59"/>
      <c r="AE17" s="59"/>
      <c r="AF17" s="59"/>
      <c r="AG17" s="308" t="s">
        <v>46</v>
      </c>
      <c r="AH17" s="303">
        <v>-8.2032059994183301E-4</v>
      </c>
      <c r="AI17" s="303">
        <v>1.6631227319793405E-2</v>
      </c>
      <c r="AJ17" s="305">
        <v>1.5810906719851574E-2</v>
      </c>
      <c r="AK17" s="59"/>
      <c r="AL17" s="59"/>
      <c r="AM17"/>
      <c r="AN17"/>
      <c r="AO17"/>
      <c r="AP17"/>
      <c r="AQ17"/>
      <c r="AR17"/>
    </row>
    <row r="18" spans="1:44" ht="14.25" customHeight="1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8"/>
      <c r="M18" s="59"/>
      <c r="N18" s="59"/>
      <c r="O18" s="59"/>
      <c r="P18" s="287"/>
      <c r="Q18" s="308" t="s">
        <v>48</v>
      </c>
      <c r="R18" s="303">
        <v>1.4047670012902586E-3</v>
      </c>
      <c r="S18" s="303">
        <v>0.14261380567437262</v>
      </c>
      <c r="T18" s="305">
        <v>0.1440185726756629</v>
      </c>
      <c r="U18" s="289"/>
      <c r="V18" s="59"/>
      <c r="W18" s="59"/>
      <c r="X18" s="287"/>
      <c r="Y18" s="308" t="s">
        <v>48</v>
      </c>
      <c r="Z18" s="303">
        <v>1.4047670012902586E-3</v>
      </c>
      <c r="AA18" s="303">
        <v>0.14261380567437262</v>
      </c>
      <c r="AB18" s="305">
        <v>0.1440185726756629</v>
      </c>
      <c r="AC18" s="59"/>
      <c r="AD18" s="59"/>
      <c r="AE18" s="59"/>
      <c r="AF18" s="59"/>
      <c r="AG18" s="308" t="s">
        <v>48</v>
      </c>
      <c r="AH18" s="303">
        <v>1.4047670012902586E-3</v>
      </c>
      <c r="AI18" s="303">
        <v>0.14261380567437262</v>
      </c>
      <c r="AJ18" s="305">
        <v>0.1440185726756629</v>
      </c>
      <c r="AK18" s="59"/>
      <c r="AL18" s="59"/>
    </row>
    <row r="19" spans="1:44" ht="14.25" customHeight="1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8"/>
      <c r="M19" s="59"/>
      <c r="N19" s="59"/>
      <c r="O19" s="59"/>
      <c r="P19" s="59"/>
      <c r="Q19" s="311" t="s">
        <v>49</v>
      </c>
      <c r="R19" s="318"/>
      <c r="S19" s="318"/>
      <c r="T19" s="307"/>
      <c r="U19" s="289"/>
      <c r="V19" s="59"/>
      <c r="W19" s="59"/>
      <c r="X19" s="287"/>
      <c r="Y19" s="311" t="s">
        <v>49</v>
      </c>
      <c r="Z19" s="318"/>
      <c r="AA19" s="318"/>
      <c r="AB19" s="307"/>
      <c r="AC19" s="59"/>
      <c r="AD19" s="59"/>
      <c r="AE19" s="59"/>
      <c r="AF19" s="59"/>
      <c r="AG19" s="311" t="s">
        <v>49</v>
      </c>
      <c r="AH19" s="318"/>
      <c r="AI19" s="318"/>
      <c r="AJ19" s="307"/>
      <c r="AK19" s="59"/>
      <c r="AL19" s="59"/>
    </row>
    <row r="20" spans="1:44" ht="14.25" customHeight="1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8"/>
      <c r="M20" s="59"/>
      <c r="N20" s="59"/>
      <c r="O20" s="59"/>
      <c r="P20" s="59"/>
      <c r="Q20" s="19"/>
      <c r="R20" s="260"/>
      <c r="S20" s="260"/>
      <c r="T20" s="260"/>
      <c r="U20" s="59"/>
      <c r="V20" s="59"/>
      <c r="W20" s="59"/>
      <c r="X20" s="59"/>
      <c r="Y20" s="19"/>
      <c r="Z20" s="267"/>
      <c r="AA20" s="175"/>
      <c r="AB20" s="175"/>
      <c r="AC20" s="59"/>
      <c r="AD20" s="59"/>
      <c r="AE20" s="59"/>
      <c r="AF20" s="59"/>
      <c r="AG20" s="19"/>
      <c r="AH20" s="174"/>
      <c r="AI20" s="175"/>
      <c r="AJ20" s="175"/>
      <c r="AK20" s="59"/>
      <c r="AL20" s="59"/>
    </row>
    <row r="21" spans="1:44" ht="14.25" customHeight="1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8"/>
      <c r="M21" s="59"/>
      <c r="N21" s="59"/>
      <c r="O21" s="59"/>
      <c r="P21" s="59"/>
      <c r="Q21" s="19"/>
      <c r="R21" s="260"/>
      <c r="S21" s="260"/>
      <c r="T21" s="260"/>
      <c r="U21" s="59"/>
      <c r="V21" s="59"/>
      <c r="W21" s="59"/>
      <c r="X21" s="59"/>
      <c r="Y21" s="19"/>
      <c r="Z21" s="267"/>
      <c r="AA21" s="175"/>
      <c r="AB21" s="175"/>
      <c r="AC21" s="59"/>
      <c r="AD21" s="59"/>
      <c r="AE21" s="59"/>
      <c r="AF21" s="59"/>
      <c r="AG21" s="19"/>
      <c r="AH21" s="174"/>
      <c r="AI21" s="209"/>
      <c r="AJ21" s="175"/>
      <c r="AK21" s="59"/>
      <c r="AL21" s="59"/>
      <c r="AN21" s="35"/>
      <c r="AO21" s="35"/>
      <c r="AP21" s="35"/>
      <c r="AQ21" s="35"/>
    </row>
    <row r="22" spans="1:44" ht="15.75" thickBot="1">
      <c r="H22" s="428" t="s">
        <v>33</v>
      </c>
      <c r="I22" s="428"/>
      <c r="J22" s="428"/>
      <c r="K22" s="428"/>
      <c r="L22" s="428"/>
      <c r="M22" s="428"/>
      <c r="N22" s="428"/>
      <c r="O22" s="61"/>
      <c r="P22" s="428" t="s">
        <v>34</v>
      </c>
      <c r="Q22" s="428"/>
      <c r="R22" s="428"/>
      <c r="S22" s="428"/>
      <c r="T22" s="428"/>
      <c r="U22" s="428"/>
      <c r="V22" s="428"/>
      <c r="W22" s="57"/>
      <c r="X22" s="428" t="s">
        <v>35</v>
      </c>
      <c r="Y22" s="428"/>
      <c r="Z22" s="428"/>
      <c r="AA22" s="428"/>
      <c r="AB22" s="428"/>
      <c r="AC22" s="428"/>
      <c r="AD22" s="428"/>
      <c r="AE22" s="57"/>
      <c r="AF22" s="428" t="s">
        <v>36</v>
      </c>
      <c r="AG22" s="428"/>
      <c r="AH22" s="428"/>
      <c r="AI22" s="428"/>
      <c r="AJ22" s="428"/>
      <c r="AK22" s="428"/>
      <c r="AL22" s="428"/>
      <c r="AM22" s="57"/>
      <c r="AN22" s="417"/>
      <c r="AO22" s="417"/>
      <c r="AP22" s="417"/>
      <c r="AQ22" s="417"/>
    </row>
    <row r="23" spans="1:44" ht="45" customHeight="1" thickTop="1" thickBot="1">
      <c r="A23" t="s">
        <v>26</v>
      </c>
      <c r="P23" s="150"/>
      <c r="Q23" s="150"/>
      <c r="R23" s="150"/>
      <c r="S23" s="150"/>
      <c r="X23" s="150"/>
      <c r="Y23" s="150"/>
      <c r="Z23" s="150"/>
      <c r="AA23" s="150"/>
      <c r="AF23" s="150"/>
      <c r="AG23" s="150"/>
      <c r="AH23" s="150"/>
      <c r="AI23" s="150"/>
      <c r="AN23" s="196"/>
      <c r="AO23" s="196"/>
      <c r="AP23" s="196"/>
      <c r="AQ23" s="196"/>
    </row>
    <row r="24" spans="1:44" ht="30.75" thickTop="1" thickBot="1">
      <c r="A24" s="2"/>
      <c r="B24" s="1"/>
      <c r="C24" s="1"/>
      <c r="D24" s="45"/>
      <c r="E24" s="45"/>
      <c r="F24" s="3"/>
      <c r="G24" s="3"/>
      <c r="H24" s="3"/>
      <c r="I24" s="3"/>
      <c r="J24" s="3"/>
      <c r="K24" s="52" t="s">
        <v>59</v>
      </c>
      <c r="L24" s="52" t="s">
        <v>60</v>
      </c>
      <c r="M24" s="51" t="s">
        <v>61</v>
      </c>
      <c r="N24" s="52" t="s">
        <v>62</v>
      </c>
      <c r="O24" s="3"/>
      <c r="P24" s="3"/>
      <c r="Q24" s="3"/>
      <c r="R24" s="3"/>
      <c r="S24" s="52" t="s">
        <v>59</v>
      </c>
      <c r="T24" s="52" t="s">
        <v>60</v>
      </c>
      <c r="U24" s="51" t="s">
        <v>61</v>
      </c>
      <c r="V24" s="52" t="s">
        <v>62</v>
      </c>
      <c r="W24" s="52"/>
      <c r="X24" s="3"/>
      <c r="Y24" s="3"/>
      <c r="Z24" s="3"/>
      <c r="AA24" s="52" t="s">
        <v>59</v>
      </c>
      <c r="AB24" s="52" t="s">
        <v>60</v>
      </c>
      <c r="AC24" s="51" t="s">
        <v>61</v>
      </c>
      <c r="AD24" s="52" t="s">
        <v>62</v>
      </c>
      <c r="AE24" s="52"/>
      <c r="AF24" s="3"/>
      <c r="AG24" s="3"/>
      <c r="AH24" s="3"/>
      <c r="AI24" s="52" t="s">
        <v>59</v>
      </c>
      <c r="AJ24" s="52" t="s">
        <v>60</v>
      </c>
      <c r="AK24" s="51" t="s">
        <v>61</v>
      </c>
      <c r="AL24" s="52" t="s">
        <v>62</v>
      </c>
      <c r="AM24" s="47"/>
      <c r="AN24" s="347"/>
      <c r="AO24" s="347"/>
      <c r="AP24" s="373"/>
      <c r="AQ24" s="373"/>
    </row>
    <row r="25" spans="1:44" ht="15.75" thickBot="1">
      <c r="A25" s="5" t="s">
        <v>63</v>
      </c>
      <c r="C25" s="1" t="s">
        <v>8</v>
      </c>
      <c r="D25" s="6"/>
      <c r="F25" s="7">
        <v>2200</v>
      </c>
      <c r="G25" s="14"/>
      <c r="H25" s="14"/>
      <c r="I25" s="5"/>
      <c r="J25" s="1"/>
      <c r="K25" s="14"/>
      <c r="L25" s="14"/>
      <c r="M25" s="14"/>
      <c r="N25" s="14"/>
      <c r="P25" s="14"/>
      <c r="Q25" s="5"/>
      <c r="R25" s="1"/>
      <c r="S25" s="14"/>
      <c r="T25" s="14"/>
      <c r="U25" s="14"/>
      <c r="V25" s="14"/>
      <c r="W25" s="14"/>
      <c r="X25" s="14"/>
      <c r="Y25" s="5"/>
      <c r="Z25" s="1"/>
      <c r="AA25" s="14"/>
      <c r="AB25" s="14"/>
      <c r="AC25" s="14"/>
      <c r="AD25" s="14"/>
      <c r="AE25" s="14"/>
      <c r="AF25" s="14"/>
      <c r="AG25" s="5"/>
      <c r="AH25" s="1"/>
      <c r="AI25" s="14"/>
      <c r="AJ25" s="14"/>
      <c r="AK25" s="14"/>
      <c r="AL25" s="14"/>
      <c r="AM25" s="14"/>
      <c r="AN25" s="374"/>
      <c r="AO25" s="374"/>
      <c r="AP25" s="374"/>
      <c r="AQ25" s="374"/>
    </row>
    <row r="26" spans="1:44" ht="15.75" thickBot="1">
      <c r="A26" s="13" t="s">
        <v>64</v>
      </c>
      <c r="B26" s="1"/>
      <c r="C26" s="1"/>
      <c r="D26" s="4"/>
      <c r="F26" s="17">
        <f>(F25/365)/'Load Factor'!$C$4</f>
        <v>20.047924054829341</v>
      </c>
      <c r="G26" s="46"/>
      <c r="H26" s="46"/>
      <c r="I26" s="13"/>
      <c r="J26" s="1"/>
      <c r="K26" s="46"/>
      <c r="L26" s="46"/>
      <c r="M26" s="46"/>
      <c r="N26" s="46"/>
      <c r="P26" s="46"/>
      <c r="Q26" s="13"/>
      <c r="R26" s="1"/>
      <c r="S26" s="46"/>
      <c r="T26" s="46"/>
      <c r="U26" s="46"/>
      <c r="V26" s="46"/>
      <c r="W26" s="46"/>
      <c r="X26" s="46"/>
      <c r="Y26" s="13"/>
      <c r="Z26" s="1"/>
      <c r="AA26" s="46"/>
      <c r="AB26" s="46"/>
      <c r="AC26" s="46"/>
      <c r="AD26" s="46"/>
      <c r="AE26" s="46"/>
      <c r="AF26" s="46"/>
      <c r="AG26" s="13"/>
      <c r="AH26" s="1"/>
      <c r="AI26" s="46"/>
      <c r="AJ26" s="46"/>
      <c r="AK26" s="46"/>
      <c r="AL26" s="46"/>
      <c r="AM26" s="46"/>
      <c r="AN26" s="374"/>
      <c r="AO26" s="374"/>
      <c r="AP26" s="374"/>
      <c r="AQ26" s="374"/>
    </row>
    <row r="27" spans="1:44">
      <c r="A27" s="180" t="s">
        <v>90</v>
      </c>
      <c r="B27" s="1"/>
      <c r="C27" s="372">
        <v>1006.8</v>
      </c>
      <c r="D27" s="9"/>
      <c r="F27" s="36"/>
      <c r="G27" s="36"/>
      <c r="H27" s="9"/>
      <c r="I27" s="8" t="s">
        <v>94</v>
      </c>
      <c r="J27" s="1" t="s">
        <v>11</v>
      </c>
      <c r="K27" s="9">
        <f>$K$5</f>
        <v>25.85</v>
      </c>
      <c r="L27" s="9">
        <f>K27*12</f>
        <v>310.20000000000005</v>
      </c>
      <c r="M27" s="9">
        <f>$L$5*12</f>
        <v>0</v>
      </c>
      <c r="N27" s="9">
        <f>SUM(L27:M27)</f>
        <v>310.20000000000005</v>
      </c>
      <c r="P27" s="9"/>
      <c r="Q27" s="8" t="s">
        <v>94</v>
      </c>
      <c r="R27" s="1" t="s">
        <v>11</v>
      </c>
      <c r="S27" s="9">
        <f>$R$5</f>
        <v>29.097610156886343</v>
      </c>
      <c r="T27" s="9">
        <f>S27*12</f>
        <v>349.17132188263611</v>
      </c>
      <c r="U27" s="9">
        <f>$S$5*12</f>
        <v>0</v>
      </c>
      <c r="V27" s="9">
        <f>SUM(T27:U27)</f>
        <v>349.17132188263611</v>
      </c>
      <c r="W27" s="9"/>
      <c r="X27" s="9"/>
      <c r="Y27" s="8" t="s">
        <v>94</v>
      </c>
      <c r="Z27" s="1" t="s">
        <v>11</v>
      </c>
      <c r="AA27" s="9"/>
      <c r="AB27" s="9">
        <f>$Z$5*12</f>
        <v>520.27803420035798</v>
      </c>
      <c r="AC27" s="9">
        <f>$AA$5*12</f>
        <v>2.9179954545121554</v>
      </c>
      <c r="AD27" s="9">
        <f>SUM(AB27:AC27)</f>
        <v>523.19602965487013</v>
      </c>
      <c r="AE27" s="9"/>
      <c r="AF27" s="9"/>
      <c r="AG27" s="8" t="s">
        <v>94</v>
      </c>
      <c r="AH27" s="1" t="s">
        <v>11</v>
      </c>
      <c r="AI27" s="9">
        <f>$AH$5</f>
        <v>29.097610156886343</v>
      </c>
      <c r="AJ27" s="9">
        <f>AI27*12</f>
        <v>349.17132188263611</v>
      </c>
      <c r="AK27" s="9">
        <f>$AI$5*F25</f>
        <v>0</v>
      </c>
      <c r="AL27" s="9">
        <f>SUM(AJ27:AK27)</f>
        <v>349.17132188263611</v>
      </c>
      <c r="AM27" s="9"/>
      <c r="AN27" s="374"/>
      <c r="AO27" s="374"/>
      <c r="AP27" s="374"/>
      <c r="AQ27" s="374"/>
    </row>
    <row r="28" spans="1:44">
      <c r="A28" s="180" t="s">
        <v>91</v>
      </c>
      <c r="B28" s="1"/>
      <c r="C28" s="183">
        <v>778.6</v>
      </c>
      <c r="D28" s="9"/>
      <c r="F28" s="36"/>
      <c r="G28" s="36"/>
      <c r="H28" s="9"/>
      <c r="I28" s="8"/>
      <c r="J28" s="1"/>
      <c r="K28" s="9"/>
      <c r="L28" s="9"/>
      <c r="M28" s="9"/>
      <c r="N28" s="9"/>
      <c r="P28" s="9"/>
      <c r="Q28" s="8" t="s">
        <v>95</v>
      </c>
      <c r="R28" s="1" t="s">
        <v>11</v>
      </c>
      <c r="S28" s="9"/>
      <c r="T28" s="9">
        <f>$R$6*F26*12</f>
        <v>145.26147947461919</v>
      </c>
      <c r="U28" s="9">
        <f>$S$7*F26*12</f>
        <v>0.94268376071153881</v>
      </c>
      <c r="V28" s="9">
        <f>SUM(T28:U28)</f>
        <v>146.20416323533073</v>
      </c>
      <c r="W28" s="9"/>
      <c r="X28" s="9"/>
      <c r="Y28" s="8"/>
      <c r="Z28" s="1"/>
      <c r="AA28" s="9"/>
      <c r="AB28" s="9"/>
      <c r="AC28" s="9"/>
      <c r="AD28" s="9"/>
      <c r="AE28" s="9"/>
      <c r="AF28" s="9"/>
      <c r="AG28" s="8"/>
      <c r="AH28" s="1"/>
      <c r="AI28" s="9"/>
      <c r="AJ28" s="9"/>
      <c r="AK28" s="9"/>
      <c r="AL28" s="9"/>
      <c r="AM28" s="9"/>
      <c r="AN28" s="374"/>
      <c r="AO28" s="374"/>
      <c r="AP28" s="374"/>
      <c r="AQ28" s="374"/>
    </row>
    <row r="29" spans="1:44">
      <c r="A29" s="180" t="s">
        <v>92</v>
      </c>
      <c r="B29" s="1"/>
      <c r="C29" s="183">
        <v>414.6</v>
      </c>
      <c r="D29" s="9"/>
      <c r="F29" s="36"/>
      <c r="G29" s="36"/>
      <c r="H29" s="9"/>
      <c r="I29" s="8" t="s">
        <v>96</v>
      </c>
      <c r="J29" s="1" t="s">
        <v>11</v>
      </c>
      <c r="K29" s="9"/>
      <c r="L29" s="9">
        <f>SUMPRODUCT($K$6:$K$8,C27:C29)</f>
        <v>119.433324</v>
      </c>
      <c r="M29" s="9">
        <f>SUMPRODUCT($L$6:$L$8,C27:C29)</f>
        <v>2.7873999999999999</v>
      </c>
      <c r="N29" s="9">
        <f>SUM(L29:M29)</f>
        <v>122.220724</v>
      </c>
      <c r="P29" s="9"/>
      <c r="Q29" s="8" t="s">
        <v>97</v>
      </c>
      <c r="R29" s="1" t="s">
        <v>11</v>
      </c>
      <c r="S29" s="9"/>
      <c r="T29" s="9">
        <f>$R$7*F25</f>
        <v>0</v>
      </c>
      <c r="U29" s="9">
        <f>$S$7*F25</f>
        <v>8.6206110746322846</v>
      </c>
      <c r="V29" s="9">
        <f>SUM(T29:U29)</f>
        <v>8.6206110746322846</v>
      </c>
      <c r="W29" s="9"/>
      <c r="X29" s="9"/>
      <c r="Y29" s="8" t="s">
        <v>97</v>
      </c>
      <c r="Z29" s="1" t="s">
        <v>11</v>
      </c>
      <c r="AA29" s="9"/>
      <c r="AB29" s="9">
        <f>$Z$7*F25</f>
        <v>0</v>
      </c>
      <c r="AC29" s="9">
        <f>$AA$7*F25</f>
        <v>8.6206110746322846</v>
      </c>
      <c r="AD29" s="9">
        <f>SUM(AB29:AC29)</f>
        <v>8.6206110746322846</v>
      </c>
      <c r="AE29" s="9"/>
      <c r="AF29" s="9"/>
      <c r="AG29" s="8" t="s">
        <v>97</v>
      </c>
      <c r="AH29" s="1" t="s">
        <v>11</v>
      </c>
      <c r="AI29" s="9"/>
      <c r="AJ29" s="9">
        <f>$AH$7*F25</f>
        <v>157.99735212290855</v>
      </c>
      <c r="AK29" s="9">
        <f>$AI$7*F25</f>
        <v>11.315043976034325</v>
      </c>
      <c r="AL29" s="9">
        <f>SUM(AJ29:AK29)</f>
        <v>169.31239609894288</v>
      </c>
      <c r="AM29" s="9"/>
      <c r="AN29" s="374"/>
      <c r="AO29" s="374"/>
      <c r="AP29" s="374"/>
      <c r="AQ29" s="374"/>
    </row>
    <row r="30" spans="1:44">
      <c r="D30" s="9"/>
      <c r="F30" s="36"/>
      <c r="G30" s="36"/>
      <c r="H30" s="9"/>
      <c r="I30" s="8" t="s">
        <v>93</v>
      </c>
      <c r="J30" s="1" t="s">
        <v>11</v>
      </c>
      <c r="L30" s="259">
        <f>$K$9*F25</f>
        <v>19.6922</v>
      </c>
      <c r="M30" s="9">
        <f>$L$9*F25</f>
        <v>0.76780000000000004</v>
      </c>
      <c r="N30" s="9">
        <f>SUM(L30:M30)</f>
        <v>20.46</v>
      </c>
      <c r="P30" s="9"/>
      <c r="Q30" s="8" t="s">
        <v>14</v>
      </c>
      <c r="R30" s="1" t="s">
        <v>11</v>
      </c>
      <c r="T30" s="259">
        <f>$R$8*F25</f>
        <v>-1.9029784741519771</v>
      </c>
      <c r="U30" s="9">
        <f>$S$8*F25</f>
        <v>40.587493906709774</v>
      </c>
      <c r="V30" s="9">
        <f>T30+U30</f>
        <v>38.684515432557795</v>
      </c>
      <c r="W30" s="9"/>
      <c r="X30" s="9"/>
      <c r="Y30" s="8" t="s">
        <v>14</v>
      </c>
      <c r="Z30" s="260" t="s">
        <v>11</v>
      </c>
      <c r="AB30" s="259">
        <f>$Z$8*F25</f>
        <v>-1.9029784741519771</v>
      </c>
      <c r="AC30" s="9">
        <f>$AA$8*F25</f>
        <v>40.587493906709774</v>
      </c>
      <c r="AD30" s="9">
        <f>AB30+AC30</f>
        <v>38.684515432557795</v>
      </c>
      <c r="AE30" s="9"/>
      <c r="AF30" s="9"/>
      <c r="AG30" s="8" t="s">
        <v>14</v>
      </c>
      <c r="AH30" s="260" t="s">
        <v>11</v>
      </c>
      <c r="AJ30" s="259">
        <f>$AH$8*F25</f>
        <v>-1.9029784741519771</v>
      </c>
      <c r="AK30" s="9">
        <f>$AI$8*F25</f>
        <v>40.587493906709774</v>
      </c>
      <c r="AL30" s="9">
        <f>AJ30+AK30</f>
        <v>38.684515432557795</v>
      </c>
      <c r="AM30" s="9"/>
      <c r="AN30" s="374"/>
      <c r="AO30" s="374"/>
      <c r="AP30" s="374"/>
      <c r="AQ30" s="374"/>
    </row>
    <row r="31" spans="1:44">
      <c r="A31" s="8"/>
      <c r="B31" s="1"/>
      <c r="C31" s="82"/>
      <c r="D31" s="9"/>
      <c r="F31" s="36"/>
      <c r="G31" s="36"/>
      <c r="H31" s="9"/>
      <c r="I31" s="8" t="s">
        <v>98</v>
      </c>
      <c r="J31" s="1" t="s">
        <v>11</v>
      </c>
      <c r="K31" s="9"/>
      <c r="L31" s="9">
        <f>$K$10*F25</f>
        <v>-1.6697999999999997</v>
      </c>
      <c r="M31" s="9">
        <f>$L$10*F25</f>
        <v>359.02131436497638</v>
      </c>
      <c r="N31" s="9">
        <f>SUM(L31:M31)</f>
        <v>357.35151436497637</v>
      </c>
      <c r="P31" s="9"/>
      <c r="Q31" s="8" t="s">
        <v>48</v>
      </c>
      <c r="R31" s="1" t="s">
        <v>11</v>
      </c>
      <c r="S31" s="9"/>
      <c r="T31" s="9">
        <f>$R$9*F25</f>
        <v>3.0904874028385678</v>
      </c>
      <c r="U31" s="9">
        <f>$S$9*F25</f>
        <v>313.75037248361986</v>
      </c>
      <c r="V31" s="9">
        <f>SUM(T31:U31)</f>
        <v>316.84085988645842</v>
      </c>
      <c r="W31" s="9"/>
      <c r="X31" s="9"/>
      <c r="Y31" s="8" t="s">
        <v>48</v>
      </c>
      <c r="Z31" s="1" t="s">
        <v>11</v>
      </c>
      <c r="AA31" s="9"/>
      <c r="AB31" s="9">
        <f>$Z$9*F25</f>
        <v>3.0904874028385678</v>
      </c>
      <c r="AC31" s="9">
        <f>$AA$9*F25</f>
        <v>313.75037248361986</v>
      </c>
      <c r="AD31" s="9">
        <f>SUM(AB31:AC31)</f>
        <v>316.84085988645842</v>
      </c>
      <c r="AE31" s="9"/>
      <c r="AF31" s="9"/>
      <c r="AG31" s="8" t="s">
        <v>48</v>
      </c>
      <c r="AH31" s="1" t="s">
        <v>11</v>
      </c>
      <c r="AI31" s="9"/>
      <c r="AJ31" s="9">
        <f>$AH$9*F25</f>
        <v>3.0904874028385678</v>
      </c>
      <c r="AK31" s="9">
        <f>$AI$9*F25</f>
        <v>313.75037248361986</v>
      </c>
      <c r="AL31" s="9">
        <f>SUM(AJ31:AK31)</f>
        <v>316.84085988645842</v>
      </c>
      <c r="AM31" s="9"/>
      <c r="AN31" s="374"/>
      <c r="AO31" s="374"/>
      <c r="AP31" s="374"/>
      <c r="AQ31" s="374"/>
    </row>
    <row r="32" spans="1:44">
      <c r="A32" s="38"/>
      <c r="B32" s="1"/>
      <c r="C32" s="1"/>
      <c r="D32" s="9"/>
      <c r="E32" s="42"/>
      <c r="F32" s="39"/>
      <c r="G32" s="39"/>
      <c r="H32" s="39"/>
      <c r="I32" s="38" t="s">
        <v>74</v>
      </c>
      <c r="J32" s="1" t="s">
        <v>11</v>
      </c>
      <c r="K32" s="39"/>
      <c r="L32" s="39">
        <f>SUM(L27:L31)</f>
        <v>447.65572400000002</v>
      </c>
      <c r="M32" s="39">
        <f>SUM(M27:M31)</f>
        <v>362.57651436497639</v>
      </c>
      <c r="N32" s="39">
        <f>SUM(N27:N31)</f>
        <v>810.23223836497641</v>
      </c>
      <c r="P32" s="39"/>
      <c r="Q32" s="38" t="s">
        <v>74</v>
      </c>
      <c r="R32" s="1" t="s">
        <v>11</v>
      </c>
      <c r="S32" s="39"/>
      <c r="T32" s="39">
        <f>SUM(T27:T31)</f>
        <v>495.62031028594191</v>
      </c>
      <c r="U32" s="39">
        <f>SUM(U27:U31)</f>
        <v>363.90116122567343</v>
      </c>
      <c r="V32" s="39">
        <f>SUM(V27:V31)</f>
        <v>859.52147151161535</v>
      </c>
      <c r="W32" s="39"/>
      <c r="X32" s="39"/>
      <c r="Y32" s="38" t="s">
        <v>74</v>
      </c>
      <c r="Z32" s="1" t="s">
        <v>11</v>
      </c>
      <c r="AA32" s="39"/>
      <c r="AB32" s="39">
        <f>SUM(AB27:AB31)</f>
        <v>521.46554312904459</v>
      </c>
      <c r="AC32" s="39">
        <f>SUM(AC27:AC31)</f>
        <v>365.87647291947405</v>
      </c>
      <c r="AD32" s="39">
        <f>SUM(AD27:AD31)</f>
        <v>887.34201604851864</v>
      </c>
      <c r="AE32" s="39"/>
      <c r="AF32" s="39"/>
      <c r="AG32" s="38" t="s">
        <v>74</v>
      </c>
      <c r="AH32" s="1" t="s">
        <v>11</v>
      </c>
      <c r="AI32" s="39"/>
      <c r="AJ32" s="39">
        <f>SUM(AJ27:AJ31)</f>
        <v>508.35618293423124</v>
      </c>
      <c r="AK32" s="39">
        <f>SUM(AK27:AK31)</f>
        <v>365.65291036636393</v>
      </c>
      <c r="AL32" s="39">
        <f>SUM(AL27:AL31)</f>
        <v>874.00909330059517</v>
      </c>
      <c r="AM32" s="39"/>
      <c r="AN32" s="374"/>
      <c r="AO32" s="374"/>
      <c r="AP32" s="374"/>
      <c r="AQ32" s="374"/>
    </row>
    <row r="33" spans="1:43">
      <c r="A33" s="38"/>
      <c r="B33" s="1"/>
      <c r="C33" s="1"/>
      <c r="D33" s="9"/>
      <c r="E33" s="42"/>
      <c r="F33" s="39"/>
      <c r="G33" s="39"/>
      <c r="H33" s="39"/>
      <c r="P33" s="39"/>
      <c r="X33" s="39"/>
      <c r="AF33" s="39"/>
      <c r="AN33" s="374"/>
      <c r="AO33" s="374"/>
      <c r="AP33" s="374"/>
      <c r="AQ33" s="374"/>
    </row>
    <row r="34" spans="1:43" s="35" customFormat="1">
      <c r="A34" s="37"/>
      <c r="B34" s="11"/>
      <c r="C34" s="11"/>
      <c r="D34" s="10"/>
      <c r="F34" s="12"/>
      <c r="G34" s="12"/>
      <c r="H34" s="12"/>
      <c r="I34" s="37"/>
      <c r="J34" s="11"/>
      <c r="K34" s="12"/>
      <c r="L34" s="12" t="s">
        <v>24</v>
      </c>
      <c r="M34" s="10"/>
      <c r="N34" s="12"/>
      <c r="O34"/>
      <c r="P34" s="156"/>
      <c r="Q34" s="156"/>
      <c r="R34" s="156"/>
      <c r="S34" s="156"/>
      <c r="T34" s="15" t="s">
        <v>24</v>
      </c>
      <c r="V34" s="184">
        <f>V32/N32</f>
        <v>1.0608334633118315</v>
      </c>
      <c r="W34" s="262"/>
      <c r="X34" s="159"/>
      <c r="Y34" s="156"/>
      <c r="Z34" s="156"/>
      <c r="AA34" s="156"/>
      <c r="AB34" s="15" t="s">
        <v>24</v>
      </c>
      <c r="AD34" s="184">
        <f>AD32/N32</f>
        <v>1.0951699698337694</v>
      </c>
      <c r="AE34" s="262"/>
      <c r="AF34" s="159"/>
      <c r="AG34" s="156"/>
      <c r="AH34" s="156"/>
      <c r="AI34" s="156"/>
      <c r="AJ34" s="15" t="s">
        <v>24</v>
      </c>
      <c r="AL34" s="184">
        <f>AL32/N32</f>
        <v>1.0787142894539947</v>
      </c>
      <c r="AN34" s="375"/>
      <c r="AO34" s="375"/>
      <c r="AP34" s="375"/>
      <c r="AQ34" s="375"/>
    </row>
  </sheetData>
  <mergeCells count="16">
    <mergeCell ref="A1:V1"/>
    <mergeCell ref="H22:N22"/>
    <mergeCell ref="X22:AD22"/>
    <mergeCell ref="Q12:T12"/>
    <mergeCell ref="Q3:T3"/>
    <mergeCell ref="Y3:AB3"/>
    <mergeCell ref="Y12:AB12"/>
    <mergeCell ref="I3:M3"/>
    <mergeCell ref="Q2:T2"/>
    <mergeCell ref="Y2:AB2"/>
    <mergeCell ref="AG2:AJ2"/>
    <mergeCell ref="AF22:AL22"/>
    <mergeCell ref="AN22:AQ22"/>
    <mergeCell ref="P22:V22"/>
    <mergeCell ref="AG3:AJ3"/>
    <mergeCell ref="AG12:AJ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2D56-45A6-49AC-B874-EB9B9EF03706}">
  <sheetPr codeName="Sheet9">
    <tabColor theme="9" tint="0.39997558519241921"/>
  </sheetPr>
  <dimension ref="A1:AQ78"/>
  <sheetViews>
    <sheetView zoomScale="80" zoomScaleNormal="80" workbookViewId="0">
      <pane xSplit="7" ySplit="21" topLeftCell="H50" activePane="bottomRight" state="frozen"/>
      <selection pane="topRight" activeCell="F1" sqref="F1"/>
      <selection pane="bottomLeft" activeCell="A3" sqref="A3"/>
      <selection pane="bottomRight" activeCell="AN19" sqref="AN19"/>
    </sheetView>
  </sheetViews>
  <sheetFormatPr defaultColWidth="8.85546875" defaultRowHeight="15"/>
  <cols>
    <col min="1" max="1" width="27.42578125" bestFit="1" customWidth="1"/>
    <col min="2" max="2" width="8.28515625" customWidth="1"/>
    <col min="3" max="3" width="3.42578125" customWidth="1"/>
    <col min="4" max="4" width="11.42578125" bestFit="1" customWidth="1"/>
    <col min="5" max="5" width="10.85546875" bestFit="1" customWidth="1"/>
    <col min="6" max="6" width="2.7109375" customWidth="1"/>
    <col min="7" max="7" width="10.85546875" bestFit="1" customWidth="1"/>
    <col min="8" max="8" width="2.42578125" customWidth="1"/>
    <col min="9" max="9" width="33.42578125" customWidth="1"/>
    <col min="10" max="10" width="3.140625" bestFit="1" customWidth="1"/>
    <col min="11" max="11" width="12.140625" customWidth="1"/>
    <col min="12" max="12" width="12.140625" bestFit="1" customWidth="1"/>
    <col min="13" max="13" width="12.42578125" bestFit="1" customWidth="1"/>
    <col min="14" max="14" width="10.42578125" customWidth="1"/>
    <col min="15" max="15" width="2.140625" customWidth="1"/>
    <col min="16" max="16" width="10.28515625" bestFit="1" customWidth="1"/>
    <col min="17" max="17" width="30.28515625" customWidth="1"/>
    <col min="18" max="18" width="13.7109375" customWidth="1"/>
    <col min="19" max="19" width="11.42578125" customWidth="1"/>
    <col min="20" max="21" width="11.140625" bestFit="1" customWidth="1"/>
    <col min="22" max="22" width="11.85546875" bestFit="1" customWidth="1"/>
    <col min="23" max="23" width="2.7109375" customWidth="1"/>
    <col min="24" max="24" width="9.28515625" customWidth="1"/>
    <col min="25" max="25" width="30.28515625" customWidth="1"/>
    <col min="26" max="26" width="13.7109375" customWidth="1"/>
    <col min="27" max="27" width="11.42578125" customWidth="1"/>
    <col min="28" max="29" width="11.140625" bestFit="1" customWidth="1"/>
    <col min="30" max="30" width="11.85546875" bestFit="1" customWidth="1"/>
    <col min="31" max="31" width="2.85546875" customWidth="1"/>
    <col min="32" max="32" width="9.28515625" customWidth="1"/>
    <col min="33" max="33" width="30.28515625" customWidth="1"/>
    <col min="34" max="34" width="13.7109375" customWidth="1"/>
    <col min="35" max="35" width="11.42578125" customWidth="1"/>
    <col min="36" max="37" width="11.140625" bestFit="1" customWidth="1"/>
    <col min="38" max="38" width="11.85546875" bestFit="1" customWidth="1"/>
    <col min="40" max="40" width="11.85546875" customWidth="1"/>
    <col min="41" max="41" width="14.140625" customWidth="1"/>
    <col min="42" max="42" width="12.140625" customWidth="1"/>
    <col min="43" max="43" width="11.42578125" customWidth="1"/>
  </cols>
  <sheetData>
    <row r="1" spans="1:36" s="221" customFormat="1" ht="24" customHeight="1">
      <c r="A1" s="440" t="s">
        <v>99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36" ht="17.25" customHeight="1">
      <c r="A2" s="58"/>
      <c r="B2" s="59"/>
      <c r="C2" s="59"/>
      <c r="D2" s="59"/>
      <c r="E2" s="59"/>
      <c r="F2" s="59"/>
      <c r="G2" s="59"/>
      <c r="H2" s="59"/>
      <c r="I2" s="422" t="s">
        <v>33</v>
      </c>
      <c r="J2" s="423"/>
      <c r="K2" s="423"/>
      <c r="L2" s="423"/>
      <c r="M2" s="424"/>
      <c r="Q2" s="433" t="s">
        <v>34</v>
      </c>
      <c r="R2" s="434"/>
      <c r="S2" s="434"/>
      <c r="T2" s="435"/>
      <c r="Y2" s="433" t="s">
        <v>100</v>
      </c>
      <c r="Z2" s="434"/>
      <c r="AA2" s="434"/>
      <c r="AB2" s="435"/>
      <c r="AG2" s="433" t="s">
        <v>36</v>
      </c>
      <c r="AH2" s="434"/>
      <c r="AI2" s="434"/>
      <c r="AJ2" s="435"/>
    </row>
    <row r="3" spans="1:36" ht="15" customHeight="1">
      <c r="A3" s="58"/>
      <c r="B3" s="59"/>
      <c r="C3" s="59"/>
      <c r="D3" s="59"/>
      <c r="E3" s="59"/>
      <c r="F3" s="59"/>
      <c r="G3" s="59"/>
      <c r="H3" s="59"/>
      <c r="I3" s="198"/>
      <c r="J3" s="199"/>
      <c r="K3" s="214" t="s">
        <v>12</v>
      </c>
      <c r="L3" s="214" t="s">
        <v>37</v>
      </c>
      <c r="M3" s="330" t="s">
        <v>16</v>
      </c>
      <c r="Q3" s="437" t="s">
        <v>38</v>
      </c>
      <c r="R3" s="438"/>
      <c r="S3" s="438"/>
      <c r="T3" s="439"/>
      <c r="Y3" s="437" t="s">
        <v>38</v>
      </c>
      <c r="Z3" s="438"/>
      <c r="AA3" s="438"/>
      <c r="AB3" s="439"/>
      <c r="AG3" s="437" t="s">
        <v>38</v>
      </c>
      <c r="AH3" s="438"/>
      <c r="AI3" s="438"/>
      <c r="AJ3" s="439"/>
    </row>
    <row r="4" spans="1:36" ht="15" customHeight="1">
      <c r="A4" s="58"/>
      <c r="B4" s="59"/>
      <c r="C4" s="59"/>
      <c r="D4" s="59"/>
      <c r="E4" s="59"/>
      <c r="F4" s="59"/>
      <c r="G4" s="59"/>
      <c r="H4" s="59"/>
      <c r="I4" s="188"/>
      <c r="K4" s="59"/>
      <c r="L4" s="59"/>
      <c r="M4" s="386"/>
      <c r="Q4" s="198"/>
      <c r="R4" s="300" t="s">
        <v>12</v>
      </c>
      <c r="S4" s="300" t="s">
        <v>37</v>
      </c>
      <c r="T4" s="301" t="s">
        <v>16</v>
      </c>
      <c r="Y4" s="198"/>
      <c r="Z4" s="169" t="s">
        <v>12</v>
      </c>
      <c r="AA4" s="169" t="s">
        <v>37</v>
      </c>
      <c r="AB4" s="301" t="s">
        <v>16</v>
      </c>
      <c r="AG4" s="198"/>
      <c r="AH4" s="300" t="s">
        <v>12</v>
      </c>
      <c r="AI4" s="300" t="s">
        <v>37</v>
      </c>
      <c r="AJ4" s="301" t="s">
        <v>16</v>
      </c>
    </row>
    <row r="5" spans="1:36" ht="15" customHeight="1">
      <c r="A5" s="58"/>
      <c r="B5" s="59"/>
      <c r="C5" s="59"/>
      <c r="D5" s="59"/>
      <c r="E5" s="59"/>
      <c r="F5" s="59"/>
      <c r="G5" s="59"/>
      <c r="H5" s="59"/>
      <c r="I5" s="213" t="s">
        <v>39</v>
      </c>
      <c r="J5" s="43"/>
      <c r="K5" s="302">
        <v>78.650000000000006</v>
      </c>
      <c r="L5" s="302">
        <v>0</v>
      </c>
      <c r="M5" s="304">
        <v>78.650000000000006</v>
      </c>
      <c r="Q5" s="188" t="s">
        <v>39</v>
      </c>
      <c r="R5" s="302">
        <v>29.097610156886343</v>
      </c>
      <c r="S5" s="302">
        <v>0</v>
      </c>
      <c r="T5" s="304">
        <v>29.097610156886343</v>
      </c>
      <c r="Y5" s="188" t="s">
        <v>39</v>
      </c>
      <c r="Z5" s="302">
        <v>43.356502850029834</v>
      </c>
      <c r="AA5" s="302">
        <v>0.24316628787601294</v>
      </c>
      <c r="AB5" s="304">
        <v>43.599669137905842</v>
      </c>
      <c r="AG5" s="188" t="s">
        <v>39</v>
      </c>
      <c r="AH5" s="302">
        <v>29.097610156886343</v>
      </c>
      <c r="AI5" s="302">
        <v>0</v>
      </c>
      <c r="AJ5" s="304">
        <v>29.097610156886343</v>
      </c>
    </row>
    <row r="6" spans="1:36" ht="15" customHeight="1">
      <c r="A6" s="58"/>
      <c r="B6" s="59"/>
      <c r="C6" s="59"/>
      <c r="D6" s="59"/>
      <c r="E6" s="59"/>
      <c r="F6" s="59"/>
      <c r="G6" s="59"/>
      <c r="H6" s="59"/>
      <c r="I6" s="213" t="s">
        <v>101</v>
      </c>
      <c r="J6" s="43"/>
      <c r="K6" s="303">
        <v>5.8124000000000002E-2</v>
      </c>
      <c r="L6" s="303">
        <v>8.5499999999999997E-4</v>
      </c>
      <c r="M6" s="305">
        <v>5.8978999999999997E-2</v>
      </c>
      <c r="Q6" s="188" t="s">
        <v>42</v>
      </c>
      <c r="R6" s="303">
        <v>0.60380931494179313</v>
      </c>
      <c r="S6" s="303">
        <v>1.0297157911143889E-2</v>
      </c>
      <c r="T6" s="305">
        <v>0.61410647285293707</v>
      </c>
      <c r="Y6" s="188" t="s">
        <v>42</v>
      </c>
      <c r="Z6" s="303">
        <v>0</v>
      </c>
      <c r="AA6" s="303">
        <v>0</v>
      </c>
      <c r="AB6" s="305">
        <v>0</v>
      </c>
      <c r="AG6" s="188" t="s">
        <v>42</v>
      </c>
      <c r="AH6" s="303">
        <v>0</v>
      </c>
      <c r="AI6" s="303">
        <v>0</v>
      </c>
      <c r="AJ6" s="305">
        <v>0</v>
      </c>
    </row>
    <row r="7" spans="1:36" ht="15" customHeight="1">
      <c r="A7" s="58"/>
      <c r="B7" s="59"/>
      <c r="C7" s="59"/>
      <c r="D7" s="59"/>
      <c r="E7" s="59"/>
      <c r="F7" s="59"/>
      <c r="G7" s="59"/>
      <c r="H7" s="59"/>
      <c r="I7" s="213" t="s">
        <v>102</v>
      </c>
      <c r="J7" s="43"/>
      <c r="K7" s="303">
        <v>5.7089000000000001E-2</v>
      </c>
      <c r="L7" s="303">
        <v>8.5499999999999997E-4</v>
      </c>
      <c r="M7" s="305">
        <v>5.7943999999999996E-2</v>
      </c>
      <c r="Q7" s="188" t="s">
        <v>44</v>
      </c>
      <c r="R7" s="303">
        <v>0</v>
      </c>
      <c r="S7" s="303">
        <v>3.918459579378311E-3</v>
      </c>
      <c r="T7" s="305">
        <v>3.918459579378311E-3</v>
      </c>
      <c r="Y7" s="188" t="s">
        <v>44</v>
      </c>
      <c r="Z7" s="303">
        <v>0</v>
      </c>
      <c r="AA7" s="303">
        <v>3.918459579378311E-3</v>
      </c>
      <c r="AB7" s="305">
        <v>3.918459579378311E-3</v>
      </c>
      <c r="AG7" s="188" t="s">
        <v>44</v>
      </c>
      <c r="AH7" s="303">
        <v>7.1816978237685708E-2</v>
      </c>
      <c r="AI7" s="303">
        <v>5.1432018072883291E-3</v>
      </c>
      <c r="AJ7" s="305">
        <v>7.6960180044974028E-2</v>
      </c>
    </row>
    <row r="8" spans="1:36" ht="15" customHeight="1">
      <c r="A8" s="58"/>
      <c r="B8" s="59"/>
      <c r="C8" s="59"/>
      <c r="D8" s="59"/>
      <c r="E8" s="59"/>
      <c r="F8" s="59"/>
      <c r="G8" s="59"/>
      <c r="H8" s="59"/>
      <c r="I8" s="213" t="s">
        <v>103</v>
      </c>
      <c r="J8" s="43"/>
      <c r="K8" s="303">
        <v>5.3532999999999997E-2</v>
      </c>
      <c r="L8" s="303">
        <v>8.5499999999999997E-4</v>
      </c>
      <c r="M8" s="305">
        <v>5.4387999999999999E-2</v>
      </c>
      <c r="Q8" s="188" t="s">
        <v>46</v>
      </c>
      <c r="R8" s="303">
        <v>-8.6499021552362591E-4</v>
      </c>
      <c r="S8" s="303">
        <v>1.8448860866686262E-2</v>
      </c>
      <c r="T8" s="305">
        <v>1.7583870651162636E-2</v>
      </c>
      <c r="Y8" s="188" t="s">
        <v>46</v>
      </c>
      <c r="Z8" s="303">
        <v>-8.6499021552362591E-4</v>
      </c>
      <c r="AA8" s="303">
        <v>1.8448860866686262E-2</v>
      </c>
      <c r="AB8" s="305">
        <v>1.7583870651162636E-2</v>
      </c>
      <c r="AG8" s="188" t="s">
        <v>46</v>
      </c>
      <c r="AH8" s="303">
        <v>-8.6499021552362591E-4</v>
      </c>
      <c r="AI8" s="303">
        <v>1.8448860866686262E-2</v>
      </c>
      <c r="AJ8" s="305">
        <v>1.7583870651162636E-2</v>
      </c>
    </row>
    <row r="9" spans="1:36" ht="15" customHeight="1">
      <c r="A9" s="58"/>
      <c r="B9" s="59"/>
      <c r="C9" s="59"/>
      <c r="D9" s="59"/>
      <c r="E9" s="59"/>
      <c r="F9" s="59"/>
      <c r="G9" s="59"/>
      <c r="H9" s="59"/>
      <c r="I9" s="213" t="s">
        <v>104</v>
      </c>
      <c r="J9" s="43"/>
      <c r="K9" s="303">
        <v>4.9845E-2</v>
      </c>
      <c r="L9" s="303">
        <v>8.5499999999999997E-4</v>
      </c>
      <c r="M9" s="305">
        <v>5.0699999999999995E-2</v>
      </c>
      <c r="Q9" s="188" t="s">
        <v>48</v>
      </c>
      <c r="R9" s="303">
        <v>1.4047670012902582E-3</v>
      </c>
      <c r="S9" s="303">
        <v>0.14261380567437265</v>
      </c>
      <c r="T9" s="305">
        <v>0.1440185726756629</v>
      </c>
      <c r="Y9" s="188" t="s">
        <v>48</v>
      </c>
      <c r="Z9" s="303">
        <v>1.4047670012902582E-3</v>
      </c>
      <c r="AA9" s="303">
        <v>0.14261380567437265</v>
      </c>
      <c r="AB9" s="305">
        <v>0.1440185726756629</v>
      </c>
      <c r="AG9" s="188" t="s">
        <v>48</v>
      </c>
      <c r="AH9" s="303">
        <v>1.4047670012902582E-3</v>
      </c>
      <c r="AI9" s="303">
        <v>0.14261380567437265</v>
      </c>
      <c r="AJ9" s="305">
        <v>0.1440185726756629</v>
      </c>
    </row>
    <row r="10" spans="1:36" ht="15" customHeight="1">
      <c r="A10" s="58"/>
      <c r="B10" s="59"/>
      <c r="C10" s="59"/>
      <c r="D10" s="59"/>
      <c r="E10" s="59"/>
      <c r="F10" s="59"/>
      <c r="G10" s="59"/>
      <c r="H10" s="59"/>
      <c r="I10" s="213" t="s">
        <v>93</v>
      </c>
      <c r="J10" s="43"/>
      <c r="K10" s="303">
        <v>8.4480000000000006E-3</v>
      </c>
      <c r="L10" s="303">
        <v>3.2099999999999994E-4</v>
      </c>
      <c r="M10" s="305">
        <v>8.7690000000000008E-3</v>
      </c>
      <c r="Q10" s="191" t="s">
        <v>49</v>
      </c>
      <c r="R10" s="318"/>
      <c r="S10" s="318"/>
      <c r="T10" s="307"/>
      <c r="Y10" s="191" t="s">
        <v>49</v>
      </c>
      <c r="Z10" s="318"/>
      <c r="AA10" s="318"/>
      <c r="AB10" s="307"/>
      <c r="AF10" s="189"/>
      <c r="AG10" s="191" t="s">
        <v>49</v>
      </c>
      <c r="AH10" s="303"/>
      <c r="AI10" s="303"/>
      <c r="AJ10" s="307"/>
    </row>
    <row r="11" spans="1:36" ht="15" customHeight="1">
      <c r="A11" s="58"/>
      <c r="B11" s="59"/>
      <c r="C11" s="59"/>
      <c r="D11" s="59"/>
      <c r="E11" s="59"/>
      <c r="F11" s="59"/>
      <c r="G11" s="59"/>
      <c r="H11" s="59"/>
      <c r="I11" s="213" t="s">
        <v>55</v>
      </c>
      <c r="J11" s="43"/>
      <c r="K11" s="303">
        <v>-7.5899999999999991E-4</v>
      </c>
      <c r="L11" s="303">
        <v>0.16319150652953471</v>
      </c>
      <c r="M11" s="305">
        <v>0.1624325065295347</v>
      </c>
      <c r="AG11" s="199"/>
      <c r="AH11" s="199"/>
      <c r="AI11" s="199"/>
      <c r="AJ11" s="199"/>
    </row>
    <row r="12" spans="1:36" ht="15" customHeight="1">
      <c r="A12" s="58"/>
      <c r="B12" s="59"/>
      <c r="C12" s="59"/>
      <c r="D12" s="59"/>
      <c r="E12" s="59"/>
      <c r="F12" s="59"/>
      <c r="G12" s="59"/>
      <c r="H12" s="59"/>
      <c r="I12" s="322" t="s">
        <v>49</v>
      </c>
      <c r="J12" s="43"/>
      <c r="K12" s="303"/>
      <c r="L12" s="303"/>
      <c r="M12" s="303"/>
      <c r="N12" s="188"/>
      <c r="Q12" s="437" t="s">
        <v>52</v>
      </c>
      <c r="R12" s="438"/>
      <c r="S12" s="438"/>
      <c r="T12" s="439"/>
      <c r="X12" s="189"/>
      <c r="Y12" s="437" t="s">
        <v>52</v>
      </c>
      <c r="Z12" s="438"/>
      <c r="AA12" s="438"/>
      <c r="AB12" s="439"/>
      <c r="AF12" s="189"/>
      <c r="AG12" s="437" t="s">
        <v>52</v>
      </c>
      <c r="AH12" s="438"/>
      <c r="AI12" s="438"/>
      <c r="AJ12" s="439"/>
    </row>
    <row r="13" spans="1:36" ht="15" customHeight="1">
      <c r="A13" s="58"/>
      <c r="B13" s="59"/>
      <c r="C13" s="59"/>
      <c r="D13" s="59"/>
      <c r="E13" s="59"/>
      <c r="F13" s="59"/>
      <c r="G13" s="59"/>
      <c r="H13" s="59"/>
      <c r="I13" s="187"/>
      <c r="J13" s="187"/>
      <c r="K13" s="291"/>
      <c r="L13" s="291"/>
      <c r="M13" s="187"/>
      <c r="Q13" s="198"/>
      <c r="R13" s="300" t="s">
        <v>12</v>
      </c>
      <c r="S13" s="300" t="s">
        <v>37</v>
      </c>
      <c r="T13" s="301" t="s">
        <v>16</v>
      </c>
      <c r="U13" s="188"/>
      <c r="Y13" s="198"/>
      <c r="Z13" s="169" t="s">
        <v>12</v>
      </c>
      <c r="AA13" s="169" t="s">
        <v>37</v>
      </c>
      <c r="AB13" s="301" t="s">
        <v>16</v>
      </c>
      <c r="AG13" s="198"/>
      <c r="AH13" s="169" t="s">
        <v>12</v>
      </c>
      <c r="AI13" s="169" t="s">
        <v>37</v>
      </c>
      <c r="AJ13" s="301" t="s">
        <v>16</v>
      </c>
    </row>
    <row r="14" spans="1:36" ht="15" customHeight="1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164"/>
      <c r="L14" s="181"/>
      <c r="M14" s="176"/>
      <c r="Q14" s="188" t="s">
        <v>39</v>
      </c>
      <c r="R14" s="312">
        <v>29.097610156886343</v>
      </c>
      <c r="S14" s="302">
        <v>0</v>
      </c>
      <c r="T14" s="312">
        <v>29.097610156886343</v>
      </c>
      <c r="Y14" s="186" t="s">
        <v>39</v>
      </c>
      <c r="Z14" s="302">
        <v>501.89065855250084</v>
      </c>
      <c r="AA14" s="302">
        <v>7.7349531222224197</v>
      </c>
      <c r="AB14" s="304">
        <v>509.6256116747233</v>
      </c>
      <c r="AC14" s="329"/>
      <c r="AG14" s="188" t="s">
        <v>39</v>
      </c>
      <c r="AH14" s="302">
        <v>29.1</v>
      </c>
      <c r="AI14" s="302">
        <v>0</v>
      </c>
      <c r="AJ14" s="304">
        <v>29.1</v>
      </c>
    </row>
    <row r="15" spans="1:36" ht="15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Q15" s="188" t="s">
        <v>42</v>
      </c>
      <c r="R15" s="303">
        <v>0.6249848683706285</v>
      </c>
      <c r="S15" s="303">
        <v>1.0224830240947344E-2</v>
      </c>
      <c r="T15" s="305">
        <v>0.63520969861157583</v>
      </c>
      <c r="Y15" s="188" t="s">
        <v>42</v>
      </c>
      <c r="Z15" s="303">
        <v>0</v>
      </c>
      <c r="AA15" s="303">
        <v>0</v>
      </c>
      <c r="AB15" s="305">
        <v>0</v>
      </c>
      <c r="AG15" t="s">
        <v>42</v>
      </c>
      <c r="AH15" s="303">
        <v>0</v>
      </c>
      <c r="AI15" s="303">
        <v>0</v>
      </c>
      <c r="AJ15" s="305">
        <v>0</v>
      </c>
    </row>
    <row r="16" spans="1:36" ht="15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P16" s="189"/>
      <c r="Q16" s="188" t="s">
        <v>44</v>
      </c>
      <c r="R16" s="303">
        <v>0</v>
      </c>
      <c r="S16" s="303">
        <v>3.8691587178757546E-3</v>
      </c>
      <c r="T16" s="305">
        <v>3.8691587178757546E-3</v>
      </c>
      <c r="Y16" s="188" t="s">
        <v>44</v>
      </c>
      <c r="Z16" s="303">
        <v>0</v>
      </c>
      <c r="AA16" s="303">
        <v>3.8691587178757546E-3</v>
      </c>
      <c r="AB16" s="305">
        <v>3.8691587178757546E-3</v>
      </c>
      <c r="AG16" s="188" t="s">
        <v>44</v>
      </c>
      <c r="AH16" s="303">
        <v>7.3483235816392656E-2</v>
      </c>
      <c r="AI16" s="303">
        <v>5.0713536025886255E-3</v>
      </c>
      <c r="AJ16" s="305">
        <v>7.8554589418981288E-2</v>
      </c>
    </row>
    <row r="17" spans="1:43" ht="1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P17" s="189"/>
      <c r="Q17" s="188" t="s">
        <v>46</v>
      </c>
      <c r="R17" s="303">
        <v>-8.2032059994183301E-4</v>
      </c>
      <c r="S17" s="303">
        <v>1.6631227319793405E-2</v>
      </c>
      <c r="T17" s="305">
        <v>1.5810906719851574E-2</v>
      </c>
      <c r="Y17" s="188" t="s">
        <v>46</v>
      </c>
      <c r="Z17" s="303">
        <v>-8.2032059994183301E-4</v>
      </c>
      <c r="AA17" s="303">
        <v>1.6631227319793405E-2</v>
      </c>
      <c r="AB17" s="305">
        <v>1.5810906719851574E-2</v>
      </c>
      <c r="AG17" s="188" t="s">
        <v>46</v>
      </c>
      <c r="AH17" s="303">
        <v>-8.2032059994183301E-4</v>
      </c>
      <c r="AI17" s="303">
        <v>1.6631227319793405E-2</v>
      </c>
      <c r="AJ17" s="305">
        <v>1.5810906719851574E-2</v>
      </c>
    </row>
    <row r="18" spans="1:43" ht="15" customHeight="1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P18" s="189"/>
      <c r="Q18" s="188" t="s">
        <v>48</v>
      </c>
      <c r="R18" s="303">
        <v>1.4047670012902586E-3</v>
      </c>
      <c r="S18" s="303">
        <v>0.14261380567437262</v>
      </c>
      <c r="T18" s="305">
        <v>0.1440185726756629</v>
      </c>
      <c r="X18" s="189"/>
      <c r="Y18" t="s">
        <v>48</v>
      </c>
      <c r="Z18" s="303">
        <v>1.4047670012902586E-3</v>
      </c>
      <c r="AA18" s="303">
        <v>0.14261380567437262</v>
      </c>
      <c r="AB18" s="305">
        <v>0.1440185726756629</v>
      </c>
      <c r="AG18" s="188" t="s">
        <v>48</v>
      </c>
      <c r="AH18" s="303">
        <v>1.4047670012902586E-3</v>
      </c>
      <c r="AI18" s="303">
        <v>0.14261380567437262</v>
      </c>
      <c r="AJ18" s="305">
        <v>0.1440185726756629</v>
      </c>
    </row>
    <row r="19" spans="1:43" ht="15" customHeight="1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P19" s="189"/>
      <c r="Q19" s="191" t="s">
        <v>49</v>
      </c>
      <c r="R19" s="318"/>
      <c r="S19" s="318"/>
      <c r="T19" s="307"/>
      <c r="Y19" s="191" t="s">
        <v>49</v>
      </c>
      <c r="Z19" s="318"/>
      <c r="AA19" s="303"/>
      <c r="AB19" s="307"/>
      <c r="AG19" s="191" t="s">
        <v>49</v>
      </c>
      <c r="AH19" s="318"/>
      <c r="AI19" s="318"/>
      <c r="AJ19" s="307"/>
      <c r="AK19" s="188"/>
    </row>
    <row r="20" spans="1:43" s="35" customFormat="1" ht="15" customHeight="1">
      <c r="A20" s="218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R20" s="194"/>
      <c r="S20" s="194"/>
      <c r="T20" s="194"/>
      <c r="W20"/>
      <c r="X20"/>
      <c r="Y20" s="199"/>
      <c r="Z20" s="194"/>
      <c r="AA20" s="328"/>
      <c r="AB20" s="194"/>
      <c r="AD20"/>
      <c r="AE20"/>
      <c r="AF20"/>
      <c r="AH20" s="193"/>
      <c r="AI20" s="193"/>
      <c r="AJ20" s="193"/>
      <c r="AK20"/>
      <c r="AL20"/>
    </row>
    <row r="21" spans="1:43" ht="15" customHeight="1" thickBot="1">
      <c r="A21" s="58"/>
      <c r="B21" s="59"/>
      <c r="C21" s="59"/>
      <c r="D21" s="59"/>
      <c r="E21" s="59"/>
      <c r="F21" s="59"/>
      <c r="H21" s="61"/>
      <c r="I21" s="442" t="s">
        <v>89</v>
      </c>
      <c r="J21" s="442"/>
      <c r="K21" s="442"/>
      <c r="L21" s="442"/>
      <c r="M21" s="442"/>
      <c r="N21" s="442"/>
      <c r="O21" s="57"/>
      <c r="P21" s="421" t="s">
        <v>34</v>
      </c>
      <c r="Q21" s="421"/>
      <c r="R21" s="421"/>
      <c r="S21" s="421"/>
      <c r="T21" s="421"/>
      <c r="U21" s="421"/>
      <c r="V21" s="421"/>
      <c r="W21" s="263"/>
      <c r="X21" s="428" t="s">
        <v>35</v>
      </c>
      <c r="Y21" s="428"/>
      <c r="Z21" s="428"/>
      <c r="AA21" s="428"/>
      <c r="AB21" s="428"/>
      <c r="AC21" s="428"/>
      <c r="AD21" s="428"/>
      <c r="AE21" s="263"/>
      <c r="AF21" s="428" t="s">
        <v>36</v>
      </c>
      <c r="AG21" s="428"/>
      <c r="AH21" s="428"/>
      <c r="AI21" s="428"/>
      <c r="AJ21" s="428"/>
      <c r="AK21" s="428"/>
      <c r="AL21" s="428"/>
      <c r="AN21" s="417"/>
      <c r="AO21" s="417"/>
      <c r="AP21" s="417"/>
      <c r="AQ21" s="417"/>
    </row>
    <row r="22" spans="1:43" ht="40.5" customHeight="1" thickTop="1" thickBot="1">
      <c r="A22" t="s">
        <v>26</v>
      </c>
      <c r="D22" s="45"/>
      <c r="E22" s="45"/>
      <c r="F22" s="45"/>
      <c r="H22" s="3"/>
      <c r="I22" s="3"/>
      <c r="J22" s="3"/>
      <c r="K22" s="47" t="s">
        <v>59</v>
      </c>
      <c r="L22" s="47" t="s">
        <v>60</v>
      </c>
      <c r="M22" s="45" t="s">
        <v>61</v>
      </c>
      <c r="N22" s="47" t="s">
        <v>62</v>
      </c>
      <c r="O22" s="47"/>
      <c r="P22" s="3"/>
      <c r="Q22" s="3"/>
      <c r="R22" s="3"/>
      <c r="S22" s="47" t="s">
        <v>59</v>
      </c>
      <c r="T22" s="47" t="s">
        <v>60</v>
      </c>
      <c r="U22" s="45" t="s">
        <v>61</v>
      </c>
      <c r="V22" s="47" t="s">
        <v>62</v>
      </c>
      <c r="W22" s="47"/>
      <c r="X22" s="47"/>
      <c r="Y22" s="3"/>
      <c r="Z22" s="3"/>
      <c r="AA22" s="47" t="s">
        <v>59</v>
      </c>
      <c r="AB22" s="47" t="s">
        <v>60</v>
      </c>
      <c r="AC22" s="45" t="s">
        <v>61</v>
      </c>
      <c r="AD22" s="47" t="s">
        <v>62</v>
      </c>
      <c r="AE22" s="47"/>
      <c r="AF22" s="47"/>
      <c r="AG22" s="3"/>
      <c r="AH22" s="3"/>
      <c r="AI22" s="47" t="s">
        <v>59</v>
      </c>
      <c r="AJ22" s="47" t="s">
        <v>60</v>
      </c>
      <c r="AK22" s="45" t="s">
        <v>61</v>
      </c>
      <c r="AL22" s="47" t="s">
        <v>62</v>
      </c>
      <c r="AN22" s="196"/>
      <c r="AO22" s="196"/>
      <c r="AP22" s="196"/>
      <c r="AQ22" s="196"/>
    </row>
    <row r="23" spans="1:43" ht="15.75" customHeight="1" thickTop="1" thickBot="1">
      <c r="A23" s="5" t="s">
        <v>63</v>
      </c>
      <c r="B23" s="1" t="s">
        <v>8</v>
      </c>
      <c r="C23" s="1"/>
      <c r="D23" s="6"/>
      <c r="G23" s="7">
        <v>60000</v>
      </c>
      <c r="H23" s="14"/>
      <c r="I23" s="5"/>
      <c r="J23" s="1"/>
      <c r="K23" s="14"/>
      <c r="L23" s="14"/>
      <c r="M23" s="14"/>
      <c r="N23" s="14"/>
      <c r="O23" s="14"/>
      <c r="P23" s="14"/>
      <c r="Q23" s="5"/>
      <c r="R23" s="1"/>
      <c r="S23" s="14"/>
      <c r="T23" s="14"/>
      <c r="U23" s="14"/>
      <c r="V23" s="14"/>
      <c r="W23" s="14"/>
      <c r="X23" s="14"/>
      <c r="Y23" s="5"/>
      <c r="Z23" s="1"/>
      <c r="AA23" s="14"/>
      <c r="AB23" s="14"/>
      <c r="AC23" s="14"/>
      <c r="AD23" s="14"/>
      <c r="AE23" s="14"/>
      <c r="AF23" s="14"/>
      <c r="AG23" s="5"/>
      <c r="AH23" s="1"/>
      <c r="AI23" s="14"/>
      <c r="AJ23" s="14"/>
      <c r="AK23" s="14"/>
      <c r="AL23" s="14"/>
      <c r="AN23" s="224"/>
      <c r="AO23" s="224"/>
      <c r="AP23" s="224"/>
      <c r="AQ23" s="224"/>
    </row>
    <row r="24" spans="1:43" ht="15.75" thickBot="1">
      <c r="A24" s="13" t="s">
        <v>64</v>
      </c>
      <c r="B24" s="1"/>
      <c r="C24" s="1"/>
      <c r="D24" s="4"/>
      <c r="G24" s="7">
        <f>(G23/365)/'Load Factor'!$C$22</f>
        <v>613.41785859254946</v>
      </c>
      <c r="H24" s="46"/>
      <c r="I24" s="13"/>
      <c r="J24" s="1"/>
      <c r="K24" s="46"/>
      <c r="L24" s="46"/>
      <c r="M24" s="46"/>
      <c r="N24" s="46"/>
      <c r="O24" s="46"/>
      <c r="P24" s="46"/>
      <c r="Q24" s="13"/>
      <c r="R24" s="1"/>
      <c r="S24" s="46"/>
      <c r="T24" s="46"/>
      <c r="U24" s="46"/>
      <c r="V24" s="46"/>
      <c r="W24" s="46"/>
      <c r="X24" s="46"/>
      <c r="Y24" s="13"/>
      <c r="Z24" s="1"/>
      <c r="AA24" s="46"/>
      <c r="AB24" s="46"/>
      <c r="AC24" s="46"/>
      <c r="AD24" s="46"/>
      <c r="AE24" s="46"/>
      <c r="AF24" s="46"/>
      <c r="AG24" s="13"/>
      <c r="AH24" s="1"/>
      <c r="AI24" s="46"/>
      <c r="AJ24" s="46"/>
      <c r="AK24" s="46"/>
      <c r="AL24" s="46"/>
    </row>
    <row r="25" spans="1:43">
      <c r="A25" s="180" t="s">
        <v>101</v>
      </c>
      <c r="B25" s="195">
        <v>12000</v>
      </c>
      <c r="C25" s="1"/>
      <c r="D25" s="9"/>
      <c r="G25" s="36"/>
      <c r="H25" s="9"/>
      <c r="I25" s="8" t="s">
        <v>94</v>
      </c>
      <c r="J25" s="1" t="s">
        <v>11</v>
      </c>
      <c r="K25" s="9">
        <f>$K$5</f>
        <v>78.650000000000006</v>
      </c>
      <c r="L25" s="9">
        <f>K25*12</f>
        <v>943.80000000000007</v>
      </c>
      <c r="M25" s="9">
        <f>$L$5*12</f>
        <v>0</v>
      </c>
      <c r="N25" s="9">
        <f>SUM(L25:M25)</f>
        <v>943.80000000000007</v>
      </c>
      <c r="O25" s="9"/>
      <c r="P25" s="9"/>
      <c r="Q25" s="8" t="s">
        <v>94</v>
      </c>
      <c r="R25" s="1" t="s">
        <v>11</v>
      </c>
      <c r="S25" s="9">
        <f>$R$14</f>
        <v>29.097610156886343</v>
      </c>
      <c r="T25" s="9">
        <f>S25*12</f>
        <v>349.17132188263611</v>
      </c>
      <c r="U25" s="9">
        <f>$S$14</f>
        <v>0</v>
      </c>
      <c r="V25" s="9">
        <f>SUM(T25:U25)</f>
        <v>349.17132188263611</v>
      </c>
      <c r="W25" s="9"/>
      <c r="X25" s="9"/>
      <c r="Y25" s="8" t="s">
        <v>94</v>
      </c>
      <c r="Z25" s="1" t="s">
        <v>11</v>
      </c>
      <c r="AA25" s="9"/>
      <c r="AB25" s="9">
        <f>$Z$14*12</f>
        <v>6022.6879026300103</v>
      </c>
      <c r="AC25" s="9">
        <f>$AA$14*12</f>
        <v>92.819437466669029</v>
      </c>
      <c r="AD25" s="9">
        <f>SUM(AB25:AC25)</f>
        <v>6115.5073400966794</v>
      </c>
      <c r="AE25" s="9"/>
      <c r="AF25" s="9"/>
      <c r="AG25" s="8" t="s">
        <v>94</v>
      </c>
      <c r="AH25" s="1" t="s">
        <v>11</v>
      </c>
      <c r="AI25" s="9">
        <f>$AH$14</f>
        <v>29.1</v>
      </c>
      <c r="AJ25" s="9">
        <f>AI25*12</f>
        <v>349.20000000000005</v>
      </c>
      <c r="AK25" s="9">
        <v>0</v>
      </c>
      <c r="AL25" s="9">
        <f>SUM(AJ25:AK25)</f>
        <v>349.20000000000005</v>
      </c>
    </row>
    <row r="26" spans="1:43">
      <c r="A26" s="180" t="s">
        <v>102</v>
      </c>
      <c r="B26" s="195">
        <v>38260</v>
      </c>
      <c r="C26" s="1"/>
      <c r="D26" s="9"/>
      <c r="G26" s="9"/>
      <c r="H26" s="9"/>
      <c r="I26" s="8"/>
      <c r="J26" s="1"/>
      <c r="K26" s="9"/>
      <c r="L26" s="9"/>
      <c r="M26" s="9"/>
      <c r="N26" s="9"/>
      <c r="O26" s="9"/>
      <c r="P26" s="9"/>
      <c r="Q26" s="8" t="s">
        <v>95</v>
      </c>
      <c r="R26" s="1" t="s">
        <v>11</v>
      </c>
      <c r="S26" s="65"/>
      <c r="T26" s="223">
        <f>$R$15*G24*12</f>
        <v>4600.5225553038872</v>
      </c>
      <c r="U26" s="9">
        <f>$S$15*G24*12</f>
        <v>75.265121650491139</v>
      </c>
      <c r="V26" s="223">
        <f>SUM(T26:U26)</f>
        <v>4675.7876769543782</v>
      </c>
      <c r="W26" s="65"/>
      <c r="X26" s="193"/>
      <c r="Y26" s="8"/>
      <c r="Z26" s="1"/>
      <c r="AA26" s="65"/>
      <c r="AB26" s="223"/>
      <c r="AC26" s="9"/>
      <c r="AD26" s="223"/>
      <c r="AE26" s="193"/>
      <c r="AF26" s="193"/>
      <c r="AG26" s="8"/>
      <c r="AH26" s="1"/>
      <c r="AI26" s="65"/>
      <c r="AJ26" s="223"/>
      <c r="AK26" s="9"/>
      <c r="AL26" s="223"/>
    </row>
    <row r="27" spans="1:43">
      <c r="A27" s="180" t="s">
        <v>103</v>
      </c>
      <c r="B27" s="195">
        <v>9740</v>
      </c>
      <c r="C27" s="1"/>
      <c r="D27" s="9"/>
      <c r="G27" s="9"/>
      <c r="H27" s="9"/>
      <c r="I27" s="8" t="s">
        <v>96</v>
      </c>
      <c r="J27" s="1" t="s">
        <v>11</v>
      </c>
      <c r="K27" s="9"/>
      <c r="L27" s="9">
        <f>SUMPRODUCT($K$6:$K$9,B25:B28)</f>
        <v>3403.1245599999997</v>
      </c>
      <c r="M27" s="9">
        <f>SUMPRODUCT($L$6:$L$9,B25:B28)</f>
        <v>51.3</v>
      </c>
      <c r="N27" s="9">
        <f>SUM(L27:M27)</f>
        <v>3454.4245599999999</v>
      </c>
      <c r="O27" s="9"/>
      <c r="P27" s="9"/>
      <c r="Q27" s="8" t="s">
        <v>97</v>
      </c>
      <c r="R27" s="1" t="s">
        <v>11</v>
      </c>
      <c r="S27" s="65"/>
      <c r="T27" s="223">
        <f>$R$16*G23</f>
        <v>0</v>
      </c>
      <c r="U27" s="9">
        <f>$S$16*G23</f>
        <v>232.14952307254529</v>
      </c>
      <c r="V27" s="223">
        <f>SUM(T27:U27)</f>
        <v>232.14952307254529</v>
      </c>
      <c r="W27" s="65"/>
      <c r="X27" s="193"/>
      <c r="Y27" s="8" t="s">
        <v>97</v>
      </c>
      <c r="Z27" s="1" t="s">
        <v>11</v>
      </c>
      <c r="AA27" s="65"/>
      <c r="AB27" s="223">
        <f>$Z$16*G23</f>
        <v>0</v>
      </c>
      <c r="AC27" s="9">
        <f>$AA$16*G23</f>
        <v>232.14952307254529</v>
      </c>
      <c r="AD27" s="223">
        <f>SUM(AB27:AC27)</f>
        <v>232.14952307254529</v>
      </c>
      <c r="AE27" s="193"/>
      <c r="AF27" s="193"/>
      <c r="AG27" s="8" t="s">
        <v>97</v>
      </c>
      <c r="AH27" s="1" t="s">
        <v>11</v>
      </c>
      <c r="AI27" s="65"/>
      <c r="AJ27" s="223">
        <f>$AH$16*G23</f>
        <v>4408.9941489835592</v>
      </c>
      <c r="AK27" s="9">
        <f>$AI$16*G23</f>
        <v>304.28121615531751</v>
      </c>
      <c r="AL27" s="223">
        <f>SUM(AJ27:AK27)</f>
        <v>4713.2753651388766</v>
      </c>
    </row>
    <row r="28" spans="1:43">
      <c r="A28" s="180" t="s">
        <v>104</v>
      </c>
      <c r="B28" s="163"/>
      <c r="C28" s="1"/>
      <c r="D28" s="9"/>
      <c r="G28" s="9"/>
      <c r="H28" s="9"/>
      <c r="I28" s="8" t="s">
        <v>93</v>
      </c>
      <c r="J28" s="1" t="s">
        <v>11</v>
      </c>
      <c r="L28" s="259">
        <f>$G23*$K$10</f>
        <v>506.88000000000005</v>
      </c>
      <c r="M28" s="259">
        <f>$G23*$L$10</f>
        <v>19.259999999999998</v>
      </c>
      <c r="N28" s="9">
        <f>SUM(L28:M28)</f>
        <v>526.1400000000001</v>
      </c>
      <c r="P28" s="9"/>
      <c r="Q28" s="8" t="s">
        <v>14</v>
      </c>
      <c r="R28" s="1" t="s">
        <v>11</v>
      </c>
      <c r="T28" s="168">
        <f>$R$17*G23</f>
        <v>-49.21923599650998</v>
      </c>
      <c r="U28" s="9">
        <f>$S$17*G23</f>
        <v>997.87363918760434</v>
      </c>
      <c r="V28" s="285">
        <f>T28+U28</f>
        <v>948.65440319109439</v>
      </c>
      <c r="Y28" s="8" t="s">
        <v>14</v>
      </c>
      <c r="Z28" s="1" t="s">
        <v>11</v>
      </c>
      <c r="AB28" s="168">
        <f>$Z$17*G23</f>
        <v>-49.21923599650998</v>
      </c>
      <c r="AC28" s="9">
        <f>$AA$17*G23</f>
        <v>997.87363918760434</v>
      </c>
      <c r="AD28" s="285">
        <f>AB28+AC28</f>
        <v>948.65440319109439</v>
      </c>
      <c r="AG28" s="8" t="s">
        <v>14</v>
      </c>
      <c r="AH28" s="1" t="s">
        <v>11</v>
      </c>
      <c r="AJ28" s="259">
        <f>$AH$17*G23</f>
        <v>-49.21923599650998</v>
      </c>
      <c r="AK28" s="9">
        <f>$AI$17*G23</f>
        <v>997.87363918760434</v>
      </c>
      <c r="AL28" s="285">
        <f>AJ28+AK28</f>
        <v>948.65440319109439</v>
      </c>
    </row>
    <row r="29" spans="1:43">
      <c r="A29" s="8"/>
      <c r="B29" s="1"/>
      <c r="C29" s="1"/>
      <c r="D29" s="9"/>
      <c r="E29" s="56"/>
      <c r="F29" s="56"/>
      <c r="G29" s="9"/>
      <c r="H29" s="9"/>
      <c r="I29" s="8" t="s">
        <v>105</v>
      </c>
      <c r="J29" s="1" t="s">
        <v>11</v>
      </c>
      <c r="K29" s="9"/>
      <c r="L29" s="9">
        <f>$K$11*G23</f>
        <v>-45.539999999999992</v>
      </c>
      <c r="M29" s="9">
        <f>$L$11*G23</f>
        <v>9791.4903917720821</v>
      </c>
      <c r="N29" s="9">
        <f>SUM(L29:M29)</f>
        <v>9745.9503917720813</v>
      </c>
      <c r="O29" s="9"/>
      <c r="P29" s="9"/>
      <c r="Q29" s="8" t="s">
        <v>48</v>
      </c>
      <c r="R29" s="1" t="s">
        <v>11</v>
      </c>
      <c r="S29" s="159"/>
      <c r="T29" s="158">
        <f>$R$18*G23</f>
        <v>84.286020077415515</v>
      </c>
      <c r="U29" s="158">
        <f>$S$18*G23</f>
        <v>8556.828340462358</v>
      </c>
      <c r="V29" s="223">
        <f>SUM(T29:U29)</f>
        <v>8641.1143605397738</v>
      </c>
      <c r="W29" s="65"/>
      <c r="X29" s="193"/>
      <c r="Y29" s="8" t="s">
        <v>48</v>
      </c>
      <c r="Z29" s="1" t="s">
        <v>11</v>
      </c>
      <c r="AA29" s="159"/>
      <c r="AB29" s="158">
        <f>$Z$18*G23</f>
        <v>84.286020077415515</v>
      </c>
      <c r="AC29" s="158">
        <f>$AA$18*G23</f>
        <v>8556.828340462358</v>
      </c>
      <c r="AD29" s="223">
        <f>SUM(AB29:AC29)</f>
        <v>8641.1143605397738</v>
      </c>
      <c r="AE29" s="193"/>
      <c r="AF29" s="193"/>
      <c r="AG29" s="8" t="s">
        <v>48</v>
      </c>
      <c r="AH29" s="1" t="s">
        <v>11</v>
      </c>
      <c r="AI29" s="159"/>
      <c r="AJ29" s="158">
        <f>$AH$18*G23</f>
        <v>84.286020077415515</v>
      </c>
      <c r="AK29" s="158">
        <f>$AI$18*G23</f>
        <v>8556.828340462358</v>
      </c>
      <c r="AL29" s="223">
        <f>SUM(AJ29:AK29)</f>
        <v>8641.1143605397738</v>
      </c>
    </row>
    <row r="30" spans="1:43">
      <c r="A30" s="38"/>
      <c r="B30" s="1"/>
      <c r="C30" s="1"/>
      <c r="D30" s="9"/>
      <c r="G30" s="39"/>
      <c r="H30" s="39"/>
      <c r="I30" s="38" t="s">
        <v>74</v>
      </c>
      <c r="J30" s="1" t="s">
        <v>11</v>
      </c>
      <c r="K30" s="39"/>
      <c r="L30" s="39">
        <f>SUM(L25:L29)</f>
        <v>4808.2645599999996</v>
      </c>
      <c r="M30" s="39">
        <f>SUM(M25:M29)</f>
        <v>9862.0503917720816</v>
      </c>
      <c r="N30" s="39">
        <f>SUM(N25:N29)</f>
        <v>14670.314951772081</v>
      </c>
      <c r="O30" s="9"/>
      <c r="P30" s="39"/>
      <c r="Q30" s="38" t="s">
        <v>74</v>
      </c>
      <c r="R30" s="1" t="s">
        <v>11</v>
      </c>
      <c r="S30" s="160"/>
      <c r="T30" s="160">
        <f>SUM(T25:T29)</f>
        <v>4984.760661267429</v>
      </c>
      <c r="U30" s="160">
        <f>SUM(U25:U29)</f>
        <v>9862.1166243729986</v>
      </c>
      <c r="V30" s="160">
        <f>SUM(V25:V29)</f>
        <v>14846.877285640428</v>
      </c>
      <c r="W30" s="160"/>
      <c r="X30" s="160"/>
      <c r="Y30" s="38" t="s">
        <v>74</v>
      </c>
      <c r="Z30" s="1" t="s">
        <v>11</v>
      </c>
      <c r="AA30" s="160"/>
      <c r="AB30" s="160">
        <f>SUM(AB25:AB29)</f>
        <v>6057.7546867109158</v>
      </c>
      <c r="AC30" s="160">
        <f>SUM(AC25:AC29)</f>
        <v>9879.6709401891767</v>
      </c>
      <c r="AD30" s="160">
        <f>SUM(AD25:AD29)</f>
        <v>15937.425626900093</v>
      </c>
      <c r="AE30" s="160"/>
      <c r="AF30" s="160"/>
      <c r="AG30" s="38" t="s">
        <v>74</v>
      </c>
      <c r="AH30" s="1" t="s">
        <v>11</v>
      </c>
      <c r="AI30" s="160"/>
      <c r="AJ30" s="160">
        <f>SUM(AJ25:AJ29)</f>
        <v>4793.2609330644646</v>
      </c>
      <c r="AK30" s="160">
        <f>SUM(AK25:AK29)</f>
        <v>9858.98319580528</v>
      </c>
      <c r="AL30" s="160">
        <f>SUM(AL25:AL29)</f>
        <v>14652.244128869745</v>
      </c>
    </row>
    <row r="31" spans="1:43">
      <c r="A31" s="38"/>
      <c r="B31" s="1"/>
      <c r="C31" s="1"/>
      <c r="D31" s="9"/>
      <c r="G31" s="39"/>
      <c r="H31" s="39"/>
      <c r="O31" s="39"/>
      <c r="P31" s="39"/>
      <c r="V31" s="44"/>
      <c r="W31" s="44"/>
      <c r="X31" s="44"/>
      <c r="AD31" s="44"/>
      <c r="AE31" s="44"/>
      <c r="AF31" s="44"/>
      <c r="AL31" s="44"/>
    </row>
    <row r="32" spans="1:43" s="35" customFormat="1">
      <c r="L32" s="12" t="s">
        <v>24</v>
      </c>
      <c r="M32" s="12"/>
      <c r="N32" s="12"/>
      <c r="O32" s="12"/>
      <c r="P32" s="156"/>
      <c r="Q32" s="157"/>
      <c r="R32" s="156"/>
      <c r="S32" s="156"/>
      <c r="T32" s="298" t="s">
        <v>24</v>
      </c>
      <c r="U32" s="156"/>
      <c r="V32" s="299">
        <f>V30/N30</f>
        <v>1.0120353471925305</v>
      </c>
      <c r="W32"/>
      <c r="X32"/>
      <c r="Y32" s="157"/>
      <c r="Z32" s="156"/>
      <c r="AA32" s="156"/>
      <c r="AB32" s="298" t="s">
        <v>24</v>
      </c>
      <c r="AC32" s="156"/>
      <c r="AD32" s="379">
        <f>AD30/N30</f>
        <v>1.0863724248111628</v>
      </c>
      <c r="AE32"/>
      <c r="AF32"/>
      <c r="AG32" s="157"/>
      <c r="AH32" s="156"/>
      <c r="AI32" s="156"/>
      <c r="AJ32" s="298" t="s">
        <v>24</v>
      </c>
      <c r="AK32" s="156"/>
      <c r="AL32" s="184">
        <f>AL30/N30</f>
        <v>0.99876820484347173</v>
      </c>
    </row>
    <row r="33" spans="1:43">
      <c r="A33" s="38"/>
      <c r="B33" s="1"/>
      <c r="C33" s="1"/>
      <c r="D33" s="9"/>
      <c r="G33" s="39"/>
      <c r="H33" s="39"/>
      <c r="I33" s="38"/>
      <c r="J33" s="1"/>
      <c r="K33" s="39"/>
      <c r="L33" s="39"/>
      <c r="M33" s="39"/>
      <c r="N33" s="39"/>
      <c r="O33" s="39"/>
      <c r="P33" s="159"/>
      <c r="Q33" s="4"/>
      <c r="R33" s="159"/>
      <c r="S33" s="159"/>
      <c r="T33" s="159"/>
      <c r="U33" s="159"/>
      <c r="W33" s="187"/>
      <c r="X33" s="187"/>
      <c r="Y33" s="4"/>
      <c r="Z33" s="159"/>
      <c r="AA33" s="159"/>
      <c r="AB33" s="159"/>
      <c r="AC33" s="159"/>
      <c r="AE33" s="187"/>
      <c r="AF33" s="187"/>
      <c r="AG33" s="4"/>
      <c r="AH33" s="159"/>
      <c r="AI33" s="159"/>
      <c r="AJ33" s="159"/>
      <c r="AK33" s="159"/>
      <c r="AN33" s="417"/>
      <c r="AO33" s="417"/>
      <c r="AP33" s="417"/>
      <c r="AQ33" s="417"/>
    </row>
    <row r="34" spans="1:43" ht="52.5" customHeight="1" thickBot="1">
      <c r="A34" t="s">
        <v>106</v>
      </c>
      <c r="D34" s="45"/>
      <c r="E34" s="45"/>
      <c r="F34" s="45"/>
      <c r="G34" s="3"/>
      <c r="H34" s="3"/>
      <c r="I34" s="3"/>
      <c r="J34" s="3"/>
      <c r="K34" s="47" t="s">
        <v>59</v>
      </c>
      <c r="L34" s="47" t="s">
        <v>60</v>
      </c>
      <c r="M34" s="45" t="s">
        <v>61</v>
      </c>
      <c r="N34" s="47" t="s">
        <v>62</v>
      </c>
      <c r="O34" s="47"/>
      <c r="P34" s="3"/>
      <c r="Q34" s="3"/>
      <c r="R34" s="3"/>
      <c r="S34" s="47" t="s">
        <v>59</v>
      </c>
      <c r="T34" s="47" t="s">
        <v>60</v>
      </c>
      <c r="U34" s="45" t="s">
        <v>61</v>
      </c>
      <c r="V34" s="47" t="s">
        <v>62</v>
      </c>
      <c r="W34" s="47"/>
      <c r="X34" s="47"/>
      <c r="Y34" s="3"/>
      <c r="Z34" s="3"/>
      <c r="AA34" s="47" t="s">
        <v>59</v>
      </c>
      <c r="AB34" s="47" t="s">
        <v>60</v>
      </c>
      <c r="AC34" s="45" t="s">
        <v>61</v>
      </c>
      <c r="AD34" s="47" t="s">
        <v>62</v>
      </c>
      <c r="AE34" s="47"/>
      <c r="AF34" s="47"/>
      <c r="AG34" s="3"/>
      <c r="AH34" s="3"/>
      <c r="AI34" s="47" t="s">
        <v>59</v>
      </c>
      <c r="AJ34" s="47" t="s">
        <v>60</v>
      </c>
      <c r="AK34" s="45" t="s">
        <v>61</v>
      </c>
      <c r="AL34" s="47" t="s">
        <v>62</v>
      </c>
      <c r="AN34" s="196"/>
      <c r="AO34" s="196"/>
      <c r="AP34" s="196"/>
      <c r="AQ34" s="196"/>
    </row>
    <row r="35" spans="1:43" ht="16.5" thickTop="1" thickBot="1">
      <c r="A35" s="5" t="s">
        <v>63</v>
      </c>
      <c r="B35" s="1" t="s">
        <v>8</v>
      </c>
      <c r="C35" s="1"/>
      <c r="D35" s="6"/>
      <c r="G35" s="7">
        <v>73000</v>
      </c>
      <c r="H35" s="14"/>
      <c r="I35" s="5"/>
      <c r="J35" s="1"/>
      <c r="K35" s="14"/>
      <c r="L35" s="14"/>
      <c r="M35" s="14"/>
      <c r="N35" s="14"/>
      <c r="O35" s="14"/>
      <c r="P35" s="14"/>
      <c r="Q35" s="5"/>
      <c r="R35" s="1"/>
      <c r="S35" s="14"/>
      <c r="T35" s="14"/>
      <c r="U35" s="14"/>
      <c r="V35" s="14"/>
      <c r="W35" s="14"/>
      <c r="X35" s="14"/>
      <c r="Y35" s="5"/>
      <c r="Z35" s="1"/>
      <c r="AA35" s="14"/>
      <c r="AB35" s="14"/>
      <c r="AC35" s="14"/>
      <c r="AD35" s="14"/>
      <c r="AE35" s="14"/>
      <c r="AF35" s="14"/>
      <c r="AG35" s="5"/>
      <c r="AH35" s="1"/>
      <c r="AI35" s="14"/>
      <c r="AJ35" s="14"/>
      <c r="AK35" s="14"/>
      <c r="AL35" s="14"/>
      <c r="AN35" s="224"/>
      <c r="AO35" s="44"/>
      <c r="AP35" s="44"/>
      <c r="AQ35" s="44"/>
    </row>
    <row r="36" spans="1:43" ht="15.75" thickBot="1">
      <c r="A36" s="13" t="s">
        <v>64</v>
      </c>
      <c r="B36" s="1"/>
      <c r="C36" s="1"/>
      <c r="D36" s="4"/>
      <c r="G36" s="7">
        <f>(G35/365)/'Load Factor'!$C$22</f>
        <v>746.3250612876019</v>
      </c>
      <c r="H36" s="46"/>
      <c r="I36" s="13"/>
      <c r="J36" s="1"/>
      <c r="K36" s="46"/>
      <c r="L36" s="46"/>
      <c r="M36" s="46"/>
      <c r="N36" s="46"/>
      <c r="O36" s="46"/>
      <c r="P36" s="46"/>
      <c r="Q36" s="13"/>
      <c r="R36" s="1"/>
      <c r="S36" s="46"/>
      <c r="T36" s="46"/>
      <c r="U36" s="46"/>
      <c r="V36" s="46"/>
      <c r="W36" s="46"/>
      <c r="X36" s="46"/>
      <c r="Y36" s="13"/>
      <c r="Z36" s="1"/>
      <c r="AA36" s="46"/>
      <c r="AB36" s="46"/>
      <c r="AC36" s="46"/>
      <c r="AD36" s="46"/>
      <c r="AE36" s="46"/>
      <c r="AF36" s="46"/>
      <c r="AG36" s="13"/>
      <c r="AH36" s="1"/>
      <c r="AI36" s="46"/>
      <c r="AJ36" s="46"/>
      <c r="AK36" s="46"/>
      <c r="AL36" s="46"/>
    </row>
    <row r="37" spans="1:43">
      <c r="A37" s="180" t="s">
        <v>101</v>
      </c>
      <c r="B37" s="162">
        <v>12000</v>
      </c>
      <c r="C37" s="1"/>
      <c r="D37" s="9"/>
      <c r="G37" s="36"/>
      <c r="H37" s="9"/>
      <c r="I37" s="8" t="s">
        <v>94</v>
      </c>
      <c r="J37" s="1" t="s">
        <v>11</v>
      </c>
      <c r="K37" s="9">
        <f>$K$5</f>
        <v>78.650000000000006</v>
      </c>
      <c r="L37" s="9">
        <f>K37*12</f>
        <v>943.80000000000007</v>
      </c>
      <c r="M37" s="9">
        <f>$L$5*12</f>
        <v>0</v>
      </c>
      <c r="N37" s="9">
        <f>SUM(L37:M37)</f>
        <v>943.80000000000007</v>
      </c>
      <c r="O37" s="9"/>
      <c r="P37" s="9"/>
      <c r="Q37" s="8" t="s">
        <v>94</v>
      </c>
      <c r="R37" s="1" t="s">
        <v>11</v>
      </c>
      <c r="S37" s="9">
        <f>$R$14</f>
        <v>29.097610156886343</v>
      </c>
      <c r="T37" s="9">
        <f>S37*12</f>
        <v>349.17132188263611</v>
      </c>
      <c r="U37" s="9">
        <f>$S$14</f>
        <v>0</v>
      </c>
      <c r="V37" s="9">
        <f>SUM(T37:U37)</f>
        <v>349.17132188263611</v>
      </c>
      <c r="W37" s="9"/>
      <c r="X37" s="9"/>
      <c r="Y37" s="8" t="s">
        <v>94</v>
      </c>
      <c r="Z37" s="1" t="s">
        <v>11</v>
      </c>
      <c r="AA37" s="9"/>
      <c r="AB37" s="9">
        <f>$Z$14*12</f>
        <v>6022.6879026300103</v>
      </c>
      <c r="AC37" s="9">
        <f>$AA$14*12</f>
        <v>92.819437466669029</v>
      </c>
      <c r="AD37" s="9">
        <f>SUM(AB37:AC37)</f>
        <v>6115.5073400966794</v>
      </c>
      <c r="AE37" s="9"/>
      <c r="AF37" s="9"/>
      <c r="AG37" s="8" t="s">
        <v>94</v>
      </c>
      <c r="AH37" s="1" t="s">
        <v>11</v>
      </c>
      <c r="AI37" s="9">
        <f>$AH$14</f>
        <v>29.1</v>
      </c>
      <c r="AJ37" s="9">
        <f>AI37*12</f>
        <v>349.20000000000005</v>
      </c>
      <c r="AK37" s="9">
        <v>0</v>
      </c>
      <c r="AL37" s="9">
        <f>SUM(AJ37:AK37)</f>
        <v>349.20000000000005</v>
      </c>
    </row>
    <row r="38" spans="1:43">
      <c r="A38" s="180" t="s">
        <v>102</v>
      </c>
      <c r="B38" s="162">
        <v>43083</v>
      </c>
      <c r="C38" s="1"/>
      <c r="D38" s="9"/>
      <c r="G38" s="9"/>
      <c r="H38" s="9"/>
      <c r="I38" s="8"/>
      <c r="J38" s="1"/>
      <c r="K38" s="9"/>
      <c r="L38" s="9"/>
      <c r="M38" s="9"/>
      <c r="N38" s="9"/>
      <c r="O38" s="9"/>
      <c r="P38" s="9"/>
      <c r="Q38" s="8" t="s">
        <v>95</v>
      </c>
      <c r="R38" s="1" t="s">
        <v>11</v>
      </c>
      <c r="S38" s="65"/>
      <c r="T38" s="223">
        <f>$R$15*G36*12</f>
        <v>5597.3024422863973</v>
      </c>
      <c r="U38" s="9">
        <f>$S$15*G36*12</f>
        <v>91.572564674764237</v>
      </c>
      <c r="V38" s="223">
        <f>SUM(T38:U38)</f>
        <v>5688.8750069611615</v>
      </c>
      <c r="W38" s="65"/>
      <c r="X38" s="193"/>
      <c r="Y38" s="8"/>
      <c r="Z38" s="1"/>
      <c r="AA38" s="65"/>
      <c r="AB38" s="223"/>
      <c r="AC38" s="9"/>
      <c r="AD38" s="223"/>
      <c r="AE38" s="193"/>
      <c r="AF38" s="193"/>
      <c r="AG38" s="8"/>
      <c r="AH38" s="1"/>
      <c r="AI38" s="65"/>
      <c r="AJ38" s="223"/>
      <c r="AK38" s="9"/>
      <c r="AL38" s="223"/>
    </row>
    <row r="39" spans="1:43">
      <c r="A39" s="180" t="s">
        <v>103</v>
      </c>
      <c r="B39" s="162">
        <v>17917</v>
      </c>
      <c r="C39" s="1"/>
      <c r="D39" s="9"/>
      <c r="G39" s="9"/>
      <c r="H39" s="9"/>
      <c r="I39" s="8" t="s">
        <v>96</v>
      </c>
      <c r="J39" s="1" t="s">
        <v>11</v>
      </c>
      <c r="K39" s="9"/>
      <c r="L39" s="9">
        <f>SUMPRODUCT($K$6:$K$9,B37:B40)</f>
        <v>4116.2041479999998</v>
      </c>
      <c r="M39" s="9">
        <f>SUMPRODUCT($L$6:$L$9,B37:B40)</f>
        <v>62.414999999999999</v>
      </c>
      <c r="N39" s="9">
        <f>SUM(L39:M39)</f>
        <v>4178.6191479999998</v>
      </c>
      <c r="O39" s="9"/>
      <c r="P39" s="9"/>
      <c r="Q39" s="8" t="s">
        <v>97</v>
      </c>
      <c r="R39" s="1" t="s">
        <v>11</v>
      </c>
      <c r="S39" s="65"/>
      <c r="T39" s="223">
        <f>$R$16*G35</f>
        <v>0</v>
      </c>
      <c r="U39" s="9">
        <f>$S$16*G35</f>
        <v>282.4485864049301</v>
      </c>
      <c r="V39" s="223">
        <f>SUM(T39:U39)</f>
        <v>282.4485864049301</v>
      </c>
      <c r="W39" s="65"/>
      <c r="X39" s="193"/>
      <c r="Y39" s="8" t="s">
        <v>97</v>
      </c>
      <c r="Z39" s="1" t="s">
        <v>11</v>
      </c>
      <c r="AA39" s="65"/>
      <c r="AB39" s="223">
        <f>$Z$16*G35</f>
        <v>0</v>
      </c>
      <c r="AC39" s="9">
        <f>$AA$16*G35</f>
        <v>282.4485864049301</v>
      </c>
      <c r="AD39" s="223">
        <f>SUM(AB39:AC39)</f>
        <v>282.4485864049301</v>
      </c>
      <c r="AE39" s="193"/>
      <c r="AF39" s="193"/>
      <c r="AG39" s="8" t="s">
        <v>97</v>
      </c>
      <c r="AH39" s="1" t="s">
        <v>11</v>
      </c>
      <c r="AI39" s="65"/>
      <c r="AJ39" s="223">
        <f>$AH$16*G35</f>
        <v>5364.2762145966635</v>
      </c>
      <c r="AK39" s="9">
        <f>$AI$16*G35</f>
        <v>370.20881298896967</v>
      </c>
      <c r="AL39" s="223">
        <f>SUM(AJ39:AK39)</f>
        <v>5734.4850275856334</v>
      </c>
    </row>
    <row r="40" spans="1:43">
      <c r="A40" s="180" t="s">
        <v>104</v>
      </c>
      <c r="B40" s="163">
        <v>0</v>
      </c>
      <c r="C40" s="1"/>
      <c r="D40" s="9"/>
      <c r="G40" s="9"/>
      <c r="H40" s="9"/>
      <c r="I40" s="8" t="s">
        <v>93</v>
      </c>
      <c r="J40" s="1" t="s">
        <v>11</v>
      </c>
      <c r="L40" s="259">
        <f>$G35*$K$10</f>
        <v>616.70400000000006</v>
      </c>
      <c r="M40" s="259">
        <f>$G35*$L$10</f>
        <v>23.432999999999996</v>
      </c>
      <c r="N40" s="9">
        <f>SUM(L40:M40)</f>
        <v>640.13700000000006</v>
      </c>
      <c r="O40" s="60"/>
      <c r="P40" s="9"/>
      <c r="Q40" s="8" t="s">
        <v>14</v>
      </c>
      <c r="R40" s="1" t="s">
        <v>11</v>
      </c>
      <c r="T40" s="259">
        <f>$R$17*G35</f>
        <v>-59.883403795753807</v>
      </c>
      <c r="U40" s="9">
        <f>$S$17*G35</f>
        <v>1214.0795943449186</v>
      </c>
      <c r="V40" s="285">
        <f>T40+U40</f>
        <v>1154.1961905491648</v>
      </c>
      <c r="Y40" s="8" t="s">
        <v>14</v>
      </c>
      <c r="Z40" s="1" t="s">
        <v>11</v>
      </c>
      <c r="AB40" s="259">
        <f>$Z$17*G35</f>
        <v>-59.883403795753807</v>
      </c>
      <c r="AC40" s="9">
        <f>$AA$17*G35</f>
        <v>1214.0795943449186</v>
      </c>
      <c r="AD40" s="285">
        <f>AB40+AC40</f>
        <v>1154.1961905491648</v>
      </c>
      <c r="AG40" s="8" t="s">
        <v>14</v>
      </c>
      <c r="AH40" s="1" t="s">
        <v>11</v>
      </c>
      <c r="AJ40" s="259">
        <f>$AH$17*G35</f>
        <v>-59.883403795753807</v>
      </c>
      <c r="AK40" s="9">
        <f>$AI$17*G35</f>
        <v>1214.0795943449186</v>
      </c>
      <c r="AL40" s="285">
        <f>AJ40+AK40</f>
        <v>1154.1961905491648</v>
      </c>
    </row>
    <row r="41" spans="1:43">
      <c r="A41" s="8"/>
      <c r="B41" s="1"/>
      <c r="C41" s="1"/>
      <c r="D41" s="9"/>
      <c r="E41" s="56"/>
      <c r="F41" s="56"/>
      <c r="G41" s="9"/>
      <c r="H41" s="9"/>
      <c r="I41" s="8" t="s">
        <v>105</v>
      </c>
      <c r="J41" s="1" t="s">
        <v>11</v>
      </c>
      <c r="K41" s="9"/>
      <c r="L41" s="9">
        <f>$K$11*G35</f>
        <v>-55.406999999999996</v>
      </c>
      <c r="M41" s="9">
        <f>$L$11*G35</f>
        <v>11912.979976656034</v>
      </c>
      <c r="N41" s="9">
        <f>SUM(L41:M41)</f>
        <v>11857.572976656034</v>
      </c>
      <c r="O41" s="9"/>
      <c r="P41" s="9"/>
      <c r="Q41" s="8" t="s">
        <v>48</v>
      </c>
      <c r="R41" s="1" t="s">
        <v>11</v>
      </c>
      <c r="S41" s="159"/>
      <c r="T41" s="158">
        <f>$R$18*G35</f>
        <v>102.54799109418887</v>
      </c>
      <c r="U41" s="158">
        <f>$S$18*G35</f>
        <v>10410.807814229202</v>
      </c>
      <c r="V41" s="223">
        <f>SUM(T41:U41)</f>
        <v>10513.35580532339</v>
      </c>
      <c r="W41" s="65"/>
      <c r="X41" s="193"/>
      <c r="Y41" s="8" t="s">
        <v>48</v>
      </c>
      <c r="Z41" s="1" t="s">
        <v>11</v>
      </c>
      <c r="AA41" s="159"/>
      <c r="AB41" s="158">
        <f>$Z$18*G35</f>
        <v>102.54799109418887</v>
      </c>
      <c r="AC41" s="158">
        <f>$AA$18*G35</f>
        <v>10410.807814229202</v>
      </c>
      <c r="AD41" s="223">
        <f>SUM(AB41:AC41)</f>
        <v>10513.35580532339</v>
      </c>
      <c r="AE41" s="193"/>
      <c r="AF41" s="193"/>
      <c r="AG41" s="8" t="s">
        <v>48</v>
      </c>
      <c r="AH41" s="1" t="s">
        <v>11</v>
      </c>
      <c r="AI41" s="159"/>
      <c r="AJ41" s="158">
        <f>$AH$18*G35</f>
        <v>102.54799109418887</v>
      </c>
      <c r="AK41" s="158">
        <f>$AI$18*G35</f>
        <v>10410.807814229202</v>
      </c>
      <c r="AL41" s="223">
        <f>SUM(AJ41:AK41)</f>
        <v>10513.35580532339</v>
      </c>
    </row>
    <row r="42" spans="1:43">
      <c r="A42" s="38"/>
      <c r="B42" s="1"/>
      <c r="C42" s="1"/>
      <c r="D42" s="9"/>
      <c r="G42" s="39"/>
      <c r="H42" s="39"/>
      <c r="I42" s="38" t="s">
        <v>74</v>
      </c>
      <c r="J42" s="1" t="s">
        <v>11</v>
      </c>
      <c r="K42" s="39"/>
      <c r="L42" s="39">
        <f>SUM(L37:L41)</f>
        <v>5621.3011479999996</v>
      </c>
      <c r="M42" s="39">
        <f>SUM(M37:M41)</f>
        <v>11998.827976656034</v>
      </c>
      <c r="N42" s="39">
        <f>SUM(N37:N41)</f>
        <v>17620.129124656036</v>
      </c>
      <c r="O42" s="9"/>
      <c r="P42" s="39"/>
      <c r="Q42" s="38" t="s">
        <v>74</v>
      </c>
      <c r="R42" s="1" t="s">
        <v>11</v>
      </c>
      <c r="S42" s="160"/>
      <c r="T42" s="160">
        <f>SUM(T37:T41)</f>
        <v>5989.1383514674681</v>
      </c>
      <c r="U42" s="160">
        <f>SUM(U37:U41)</f>
        <v>11998.908559653815</v>
      </c>
      <c r="V42" s="160">
        <f>SUM(V37:V41)</f>
        <v>17988.046911121281</v>
      </c>
      <c r="W42" s="160"/>
      <c r="X42" s="160"/>
      <c r="Y42" s="38" t="s">
        <v>74</v>
      </c>
      <c r="Z42" s="1" t="s">
        <v>11</v>
      </c>
      <c r="AA42" s="160"/>
      <c r="AB42" s="160">
        <f>SUM(AB37:AB41)</f>
        <v>6065.3524899284448</v>
      </c>
      <c r="AC42" s="160">
        <f>SUM(AC37:AC41)</f>
        <v>12000.155432445719</v>
      </c>
      <c r="AD42" s="160">
        <f>SUM(AD37:AD41)</f>
        <v>18065.507922374163</v>
      </c>
      <c r="AE42" s="160"/>
      <c r="AF42" s="160"/>
      <c r="AG42" s="38" t="s">
        <v>74</v>
      </c>
      <c r="AH42" s="1" t="s">
        <v>11</v>
      </c>
      <c r="AI42" s="160"/>
      <c r="AJ42" s="160">
        <f>SUM(AJ37:AJ41)</f>
        <v>5756.1408018950979</v>
      </c>
      <c r="AK42" s="160">
        <f>SUM(AK37:AK41)</f>
        <v>11995.09622156309</v>
      </c>
      <c r="AL42" s="160">
        <f>SUM(AL37:AL41)</f>
        <v>17751.23702345819</v>
      </c>
    </row>
    <row r="43" spans="1:43">
      <c r="A43" s="38"/>
      <c r="B43" s="1"/>
      <c r="C43" s="1"/>
      <c r="D43" s="9"/>
      <c r="G43" s="39"/>
      <c r="H43" s="39"/>
      <c r="O43" s="39"/>
      <c r="P43" s="39"/>
      <c r="V43" s="44"/>
      <c r="AD43" s="44"/>
      <c r="AL43" s="44"/>
    </row>
    <row r="44" spans="1:43" s="35" customFormat="1">
      <c r="L44" s="12" t="s">
        <v>24</v>
      </c>
      <c r="M44" s="12"/>
      <c r="N44" s="12"/>
      <c r="P44" s="156"/>
      <c r="Q44" s="157"/>
      <c r="R44" s="156"/>
      <c r="S44" s="156"/>
      <c r="T44" s="298" t="s">
        <v>24</v>
      </c>
      <c r="U44" s="156"/>
      <c r="V44" s="299">
        <f>V42/N42</f>
        <v>1.0208805386079953</v>
      </c>
      <c r="W44"/>
      <c r="X44"/>
      <c r="Y44" s="157"/>
      <c r="Z44" s="156"/>
      <c r="AA44" s="156"/>
      <c r="AB44" s="298" t="s">
        <v>24</v>
      </c>
      <c r="AC44" s="156"/>
      <c r="AD44" s="184">
        <f>AD42/N42</f>
        <v>1.0252767045330504</v>
      </c>
      <c r="AE44"/>
      <c r="AF44"/>
      <c r="AG44" s="157"/>
      <c r="AH44" s="156"/>
      <c r="AI44" s="156"/>
      <c r="AJ44" s="298" t="s">
        <v>24</v>
      </c>
      <c r="AK44" s="156"/>
      <c r="AL44" s="184">
        <f>AL42/N42</f>
        <v>1.0074408023842853</v>
      </c>
    </row>
    <row r="45" spans="1:43">
      <c r="W45" s="187"/>
      <c r="X45" s="187"/>
      <c r="AE45" s="187"/>
      <c r="AF45" s="187"/>
      <c r="AN45" s="417"/>
      <c r="AO45" s="417"/>
      <c r="AP45" s="417"/>
      <c r="AQ45" s="417"/>
    </row>
    <row r="46" spans="1:43" ht="52.5" customHeight="1" thickBot="1">
      <c r="A46" s="2" t="s">
        <v>27</v>
      </c>
      <c r="B46" s="1"/>
      <c r="C46" s="1"/>
      <c r="D46" s="45"/>
      <c r="E46" s="45"/>
      <c r="F46" s="45"/>
      <c r="G46" s="3"/>
      <c r="H46" s="3"/>
      <c r="I46" s="3"/>
      <c r="J46" s="3"/>
      <c r="K46" s="47" t="s">
        <v>59</v>
      </c>
      <c r="L46" s="47" t="s">
        <v>60</v>
      </c>
      <c r="M46" s="45" t="s">
        <v>61</v>
      </c>
      <c r="N46" s="47" t="s">
        <v>62</v>
      </c>
      <c r="O46" s="47"/>
      <c r="P46" s="3"/>
      <c r="Q46" s="3"/>
      <c r="R46" s="3"/>
      <c r="S46" s="47" t="s">
        <v>59</v>
      </c>
      <c r="T46" s="47" t="s">
        <v>60</v>
      </c>
      <c r="U46" s="45" t="s">
        <v>61</v>
      </c>
      <c r="V46" s="47" t="s">
        <v>62</v>
      </c>
      <c r="W46" s="47"/>
      <c r="X46" s="47"/>
      <c r="Y46" s="3"/>
      <c r="Z46" s="3"/>
      <c r="AA46" s="47" t="s">
        <v>59</v>
      </c>
      <c r="AB46" s="47" t="s">
        <v>60</v>
      </c>
      <c r="AC46" s="45" t="s">
        <v>61</v>
      </c>
      <c r="AD46" s="47" t="s">
        <v>62</v>
      </c>
      <c r="AE46" s="47"/>
      <c r="AF46" s="47"/>
      <c r="AG46" s="3"/>
      <c r="AH46" s="3"/>
      <c r="AI46" s="47" t="s">
        <v>59</v>
      </c>
      <c r="AJ46" s="47" t="s">
        <v>60</v>
      </c>
      <c r="AK46" s="45" t="s">
        <v>61</v>
      </c>
      <c r="AL46" s="47" t="s">
        <v>62</v>
      </c>
      <c r="AN46" s="196"/>
      <c r="AO46" s="196"/>
      <c r="AP46" s="196"/>
      <c r="AQ46" s="196"/>
    </row>
    <row r="47" spans="1:43" ht="16.5" thickTop="1" thickBot="1">
      <c r="A47" s="5" t="s">
        <v>63</v>
      </c>
      <c r="B47" s="1" t="s">
        <v>8</v>
      </c>
      <c r="C47" s="1"/>
      <c r="D47" s="6"/>
      <c r="G47" s="7">
        <v>250000</v>
      </c>
      <c r="H47" s="14"/>
      <c r="I47" s="5"/>
      <c r="J47" s="1"/>
      <c r="K47" s="14"/>
      <c r="L47" s="14"/>
      <c r="M47" s="14"/>
      <c r="N47" s="14"/>
      <c r="O47" s="14"/>
      <c r="P47" s="14"/>
      <c r="Q47" s="5"/>
      <c r="R47" s="1"/>
      <c r="S47" s="14"/>
      <c r="T47" s="14"/>
      <c r="U47" s="14"/>
      <c r="V47" s="14"/>
      <c r="W47" s="14"/>
      <c r="X47" s="14"/>
      <c r="Y47" s="5"/>
      <c r="Z47" s="1"/>
      <c r="AA47" s="14"/>
      <c r="AB47" s="14"/>
      <c r="AC47" s="14"/>
      <c r="AD47" s="14"/>
      <c r="AE47" s="14"/>
      <c r="AF47" s="14"/>
      <c r="AG47" s="5"/>
      <c r="AH47" s="1"/>
      <c r="AI47" s="14"/>
      <c r="AJ47" s="14"/>
      <c r="AK47" s="14"/>
      <c r="AL47" s="14"/>
      <c r="AN47" s="224"/>
      <c r="AO47" s="44"/>
      <c r="AP47" s="44"/>
      <c r="AQ47" s="44"/>
    </row>
    <row r="48" spans="1:43" ht="15.75" thickBot="1">
      <c r="A48" s="13" t="s">
        <v>64</v>
      </c>
      <c r="B48" s="1"/>
      <c r="C48" s="1"/>
      <c r="D48" s="4"/>
      <c r="G48" s="7">
        <f>(G47/365)/'Load Factor'!$C$22</f>
        <v>2555.907744135623</v>
      </c>
      <c r="H48" s="46"/>
      <c r="I48" s="13"/>
      <c r="J48" s="1"/>
      <c r="K48" s="46"/>
      <c r="L48" s="46"/>
      <c r="M48" s="46"/>
      <c r="N48" s="46"/>
      <c r="O48" s="46"/>
      <c r="P48" s="46"/>
      <c r="Q48" s="13"/>
      <c r="R48" s="1"/>
      <c r="S48" s="46"/>
      <c r="T48" s="46"/>
      <c r="U48" s="46"/>
      <c r="V48" s="46"/>
      <c r="W48" s="46"/>
      <c r="X48" s="46"/>
      <c r="Y48" s="13"/>
      <c r="Z48" s="1"/>
      <c r="AA48" s="46"/>
      <c r="AB48" s="46"/>
      <c r="AC48" s="46"/>
      <c r="AD48" s="46"/>
      <c r="AE48" s="46"/>
      <c r="AF48" s="46"/>
      <c r="AG48" s="13"/>
      <c r="AH48" s="1"/>
      <c r="AI48" s="46"/>
      <c r="AJ48" s="46"/>
      <c r="AK48" s="46"/>
      <c r="AL48" s="46"/>
    </row>
    <row r="49" spans="1:38">
      <c r="A49" s="180" t="s">
        <v>101</v>
      </c>
      <c r="B49" s="162">
        <v>12000</v>
      </c>
      <c r="C49" s="1"/>
      <c r="D49" s="9"/>
      <c r="G49" s="36"/>
      <c r="H49" s="9"/>
      <c r="I49" s="8" t="s">
        <v>94</v>
      </c>
      <c r="J49" s="1" t="s">
        <v>11</v>
      </c>
      <c r="K49" s="9">
        <f>$K$5</f>
        <v>78.650000000000006</v>
      </c>
      <c r="L49" s="9">
        <f>K49*12</f>
        <v>943.80000000000007</v>
      </c>
      <c r="M49" s="9">
        <f>$L$5*12</f>
        <v>0</v>
      </c>
      <c r="N49" s="9">
        <f>SUM(L49:M49)</f>
        <v>943.80000000000007</v>
      </c>
      <c r="O49" s="9"/>
      <c r="P49" s="9"/>
      <c r="Q49" s="8" t="s">
        <v>94</v>
      </c>
      <c r="R49" s="1" t="s">
        <v>11</v>
      </c>
      <c r="S49" s="9">
        <f>$R$14</f>
        <v>29.097610156886343</v>
      </c>
      <c r="T49" s="9">
        <f>S49*12</f>
        <v>349.17132188263611</v>
      </c>
      <c r="U49" s="9">
        <f>$S$14</f>
        <v>0</v>
      </c>
      <c r="V49" s="9">
        <f>SUM(T49:U49)</f>
        <v>349.17132188263611</v>
      </c>
      <c r="W49" s="9"/>
      <c r="X49" s="9"/>
      <c r="Y49" s="8" t="s">
        <v>94</v>
      </c>
      <c r="Z49" s="1" t="s">
        <v>11</v>
      </c>
      <c r="AA49" s="9"/>
      <c r="AB49" s="9">
        <f>$Z$14*12</f>
        <v>6022.6879026300103</v>
      </c>
      <c r="AC49" s="9">
        <f>$AA$14*12</f>
        <v>92.819437466669029</v>
      </c>
      <c r="AD49" s="9">
        <f>SUM(AB49:AC49)</f>
        <v>6115.5073400966794</v>
      </c>
      <c r="AE49" s="9"/>
      <c r="AF49" s="9"/>
      <c r="AG49" s="8" t="s">
        <v>94</v>
      </c>
      <c r="AH49" s="1" t="s">
        <v>11</v>
      </c>
      <c r="AI49" s="9">
        <f>$AH$14</f>
        <v>29.1</v>
      </c>
      <c r="AJ49" s="9">
        <f>AI49*12</f>
        <v>349.20000000000005</v>
      </c>
      <c r="AK49" s="9">
        <v>0</v>
      </c>
      <c r="AL49" s="9">
        <f>SUM(AJ49:AK49)</f>
        <v>349.20000000000005</v>
      </c>
    </row>
    <row r="50" spans="1:38">
      <c r="A50" s="180" t="s">
        <v>102</v>
      </c>
      <c r="B50" s="162">
        <v>66000</v>
      </c>
      <c r="C50" s="1"/>
      <c r="D50" s="9"/>
      <c r="G50" s="9"/>
      <c r="H50" s="9"/>
      <c r="I50" s="8"/>
      <c r="J50" s="1"/>
      <c r="K50" s="9"/>
      <c r="L50" s="9"/>
      <c r="M50" s="9"/>
      <c r="N50" s="9"/>
      <c r="O50" s="9"/>
      <c r="P50" s="9"/>
      <c r="Q50" s="8" t="s">
        <v>95</v>
      </c>
      <c r="R50" s="1" t="s">
        <v>11</v>
      </c>
      <c r="S50" s="65"/>
      <c r="T50" s="223">
        <f>$R$15*G48*12</f>
        <v>19168.84398043287</v>
      </c>
      <c r="U50" s="9">
        <f>$S$15*G48*12</f>
        <v>313.60467354371309</v>
      </c>
      <c r="V50" s="223">
        <f>SUM(T50:U50)</f>
        <v>19482.448653976582</v>
      </c>
      <c r="W50" s="65"/>
      <c r="X50" s="193"/>
      <c r="Y50" s="8"/>
      <c r="Z50" s="1"/>
      <c r="AA50" s="65"/>
      <c r="AB50" s="223"/>
      <c r="AC50" s="9"/>
      <c r="AD50" s="223"/>
      <c r="AE50" s="193"/>
      <c r="AF50" s="193"/>
      <c r="AG50" s="8"/>
      <c r="AH50" s="1"/>
      <c r="AI50" s="65"/>
      <c r="AJ50" s="223"/>
      <c r="AK50" s="9"/>
      <c r="AL50" s="223"/>
    </row>
    <row r="51" spans="1:38">
      <c r="A51" s="180" t="s">
        <v>103</v>
      </c>
      <c r="B51" s="162">
        <v>91500</v>
      </c>
      <c r="C51" s="1"/>
      <c r="D51" s="9"/>
      <c r="G51" s="9"/>
      <c r="H51" s="9"/>
      <c r="I51" s="8" t="s">
        <v>96</v>
      </c>
      <c r="J51" s="1" t="s">
        <v>11</v>
      </c>
      <c r="K51" s="9"/>
      <c r="L51" s="9">
        <f>SUMPRODUCT($K$6:$K$9,B49:B52)</f>
        <v>13376.153999999999</v>
      </c>
      <c r="M51" s="9">
        <f>SUMPRODUCT($L$6:$L$9,B49:B52)</f>
        <v>213.75</v>
      </c>
      <c r="N51" s="9">
        <f>SUM(L51:M51)</f>
        <v>13589.903999999999</v>
      </c>
      <c r="O51" s="9"/>
      <c r="P51" s="9"/>
      <c r="Q51" s="8" t="s">
        <v>97</v>
      </c>
      <c r="R51" s="1" t="s">
        <v>11</v>
      </c>
      <c r="S51" s="65"/>
      <c r="T51" s="223">
        <f>$R$16*G47</f>
        <v>0</v>
      </c>
      <c r="U51" s="9">
        <f>$S$16*G47</f>
        <v>967.28967946893863</v>
      </c>
      <c r="V51" s="223">
        <f>SUM(T51:U51)</f>
        <v>967.28967946893863</v>
      </c>
      <c r="W51" s="65"/>
      <c r="X51" s="193"/>
      <c r="Y51" s="8" t="s">
        <v>97</v>
      </c>
      <c r="Z51" s="1" t="s">
        <v>11</v>
      </c>
      <c r="AA51" s="65"/>
      <c r="AB51" s="223">
        <f>$Z$16*G47</f>
        <v>0</v>
      </c>
      <c r="AC51" s="9">
        <f>$AA$16*G47</f>
        <v>967.28967946893863</v>
      </c>
      <c r="AD51" s="223">
        <f>SUM(AB51:AC51)</f>
        <v>967.28967946893863</v>
      </c>
      <c r="AE51" s="193"/>
      <c r="AF51" s="193"/>
      <c r="AG51" s="8" t="s">
        <v>97</v>
      </c>
      <c r="AH51" s="1" t="s">
        <v>11</v>
      </c>
      <c r="AI51" s="65"/>
      <c r="AJ51" s="223">
        <f>$AH$16*G47</f>
        <v>18370.808954098164</v>
      </c>
      <c r="AK51" s="9">
        <f>$AI$16*G47</f>
        <v>1267.8384006471563</v>
      </c>
      <c r="AL51" s="223">
        <f>SUM(AJ51:AK51)</f>
        <v>19638.647354745321</v>
      </c>
    </row>
    <row r="52" spans="1:38">
      <c r="A52" s="180" t="s">
        <v>104</v>
      </c>
      <c r="B52" s="163">
        <v>80500</v>
      </c>
      <c r="C52" s="1"/>
      <c r="D52" s="9"/>
      <c r="G52" s="9"/>
      <c r="H52" s="9"/>
      <c r="I52" s="8" t="s">
        <v>93</v>
      </c>
      <c r="J52" s="1" t="s">
        <v>11</v>
      </c>
      <c r="L52" s="259">
        <f>$G47*$K$10</f>
        <v>2112</v>
      </c>
      <c r="M52" s="259">
        <f>$G47*$L$10</f>
        <v>80.249999999999986</v>
      </c>
      <c r="N52" s="9">
        <f>SUM(L52:M52)</f>
        <v>2192.25</v>
      </c>
      <c r="P52" s="9"/>
      <c r="Q52" s="8" t="s">
        <v>14</v>
      </c>
      <c r="R52" s="1" t="s">
        <v>11</v>
      </c>
      <c r="T52" s="259">
        <f>$R$17*G47</f>
        <v>-205.08014998545826</v>
      </c>
      <c r="U52" s="9">
        <f>$S$17*G47</f>
        <v>4157.8068299483512</v>
      </c>
      <c r="V52" s="285">
        <f>T52+U52</f>
        <v>3952.7266799628928</v>
      </c>
      <c r="Y52" s="8" t="s">
        <v>14</v>
      </c>
      <c r="Z52" s="1" t="s">
        <v>11</v>
      </c>
      <c r="AB52" s="259">
        <f>$Z$17*G47</f>
        <v>-205.08014998545826</v>
      </c>
      <c r="AC52" s="9">
        <f>$AA$17*G47</f>
        <v>4157.8068299483512</v>
      </c>
      <c r="AD52" s="285">
        <f>AB52+AC52</f>
        <v>3952.7266799628928</v>
      </c>
      <c r="AG52" s="8" t="s">
        <v>14</v>
      </c>
      <c r="AH52" s="1" t="s">
        <v>11</v>
      </c>
      <c r="AJ52" s="259">
        <f>$AH$17*G47</f>
        <v>-205.08014998545826</v>
      </c>
      <c r="AK52" s="9">
        <f>$AI$17*G47</f>
        <v>4157.8068299483512</v>
      </c>
      <c r="AL52" s="285">
        <f>AJ52+AK52</f>
        <v>3952.7266799628928</v>
      </c>
    </row>
    <row r="53" spans="1:38">
      <c r="A53" s="8"/>
      <c r="B53" s="1"/>
      <c r="C53" s="1"/>
      <c r="D53" s="9"/>
      <c r="E53" s="56"/>
      <c r="F53" s="56"/>
      <c r="G53" s="9"/>
      <c r="H53" s="9"/>
      <c r="I53" s="8" t="s">
        <v>105</v>
      </c>
      <c r="J53" s="1" t="s">
        <v>11</v>
      </c>
      <c r="K53" s="9"/>
      <c r="L53" s="9">
        <f>$K$11*G47</f>
        <v>-189.74999999999997</v>
      </c>
      <c r="M53" s="9">
        <f>$L$11*G47</f>
        <v>40797.876632383675</v>
      </c>
      <c r="N53" s="9">
        <f>SUM(L53:M53)</f>
        <v>40608.126632383675</v>
      </c>
      <c r="O53" s="9"/>
      <c r="P53" s="9"/>
      <c r="Q53" s="8" t="s">
        <v>48</v>
      </c>
      <c r="R53" s="1" t="s">
        <v>11</v>
      </c>
      <c r="S53" s="159"/>
      <c r="T53" s="158">
        <f>$R$18*G47</f>
        <v>351.19175032256464</v>
      </c>
      <c r="U53" s="158">
        <f>$S$18*G47</f>
        <v>35653.451418593155</v>
      </c>
      <c r="V53" s="223">
        <f>SUM(T53:U53)</f>
        <v>36004.643168915718</v>
      </c>
      <c r="W53" s="65"/>
      <c r="X53" s="193"/>
      <c r="Y53" s="8" t="s">
        <v>48</v>
      </c>
      <c r="Z53" s="1" t="s">
        <v>11</v>
      </c>
      <c r="AA53" s="159"/>
      <c r="AB53" s="158">
        <f>$Z$18*G47</f>
        <v>351.19175032256464</v>
      </c>
      <c r="AC53" s="158">
        <f>$AA$18*G47</f>
        <v>35653.451418593155</v>
      </c>
      <c r="AD53" s="223">
        <f>SUM(AB53:AC53)</f>
        <v>36004.643168915718</v>
      </c>
      <c r="AE53" s="193"/>
      <c r="AF53" s="193"/>
      <c r="AG53" s="8" t="s">
        <v>48</v>
      </c>
      <c r="AH53" s="1" t="s">
        <v>11</v>
      </c>
      <c r="AI53" s="159"/>
      <c r="AJ53" s="158">
        <f>$AH$18*G47</f>
        <v>351.19175032256464</v>
      </c>
      <c r="AK53" s="158">
        <f>$AI$18*G47</f>
        <v>35653.451418593155</v>
      </c>
      <c r="AL53" s="223">
        <f>SUM(AJ53:AK53)</f>
        <v>36004.643168915718</v>
      </c>
    </row>
    <row r="54" spans="1:38">
      <c r="A54" s="38"/>
      <c r="B54" s="1"/>
      <c r="C54" s="1"/>
      <c r="D54" s="9"/>
      <c r="G54" s="39"/>
      <c r="H54" s="39"/>
      <c r="I54" s="38" t="s">
        <v>74</v>
      </c>
      <c r="J54" s="1" t="s">
        <v>11</v>
      </c>
      <c r="K54" s="39"/>
      <c r="L54" s="39">
        <f>SUM(L49:L53)</f>
        <v>16242.203999999998</v>
      </c>
      <c r="M54" s="39">
        <f>SUM(M49:M53)</f>
        <v>41091.876632383675</v>
      </c>
      <c r="N54" s="39">
        <f>SUM(N49:N53)</f>
        <v>57334.080632383673</v>
      </c>
      <c r="O54" s="9"/>
      <c r="P54" s="39"/>
      <c r="Q54" s="38" t="s">
        <v>74</v>
      </c>
      <c r="R54" s="1" t="s">
        <v>11</v>
      </c>
      <c r="S54" s="160"/>
      <c r="T54" s="160">
        <f>SUM(T49:T53)</f>
        <v>19664.126902652613</v>
      </c>
      <c r="U54" s="160">
        <f>SUM(U49:U53)</f>
        <v>41092.15260155416</v>
      </c>
      <c r="V54" s="160">
        <f>SUM(V49:V53)</f>
        <v>60756.279504206766</v>
      </c>
      <c r="W54" s="160"/>
      <c r="X54" s="160"/>
      <c r="Y54" s="38" t="s">
        <v>74</v>
      </c>
      <c r="Z54" s="1" t="s">
        <v>11</v>
      </c>
      <c r="AA54" s="160"/>
      <c r="AB54" s="160">
        <f>SUM(AB49:AB53)</f>
        <v>6168.7995029671174</v>
      </c>
      <c r="AC54" s="160">
        <f>SUM(AC49:AC53)</f>
        <v>40871.367365477112</v>
      </c>
      <c r="AD54" s="160">
        <f>SUM(AD49:AD53)</f>
        <v>47040.166868444227</v>
      </c>
      <c r="AE54" s="160"/>
      <c r="AF54" s="160"/>
      <c r="AG54" s="38" t="s">
        <v>74</v>
      </c>
      <c r="AH54" s="1" t="s">
        <v>11</v>
      </c>
      <c r="AI54" s="160"/>
      <c r="AJ54" s="160">
        <f>SUM(AJ49:AJ53)</f>
        <v>18866.120554435271</v>
      </c>
      <c r="AK54" s="160">
        <f>SUM(AK49:AK53)</f>
        <v>41079.096649188665</v>
      </c>
      <c r="AL54" s="160">
        <f>SUM(AL49:AL53)</f>
        <v>59945.217203623935</v>
      </c>
    </row>
    <row r="55" spans="1:38">
      <c r="A55" s="38"/>
      <c r="B55" s="1"/>
      <c r="C55" s="1"/>
      <c r="D55" s="9"/>
      <c r="G55" s="39"/>
      <c r="H55" s="39"/>
      <c r="O55" s="39"/>
      <c r="P55" s="39"/>
      <c r="V55" s="44"/>
      <c r="AD55" s="44"/>
      <c r="AL55" s="44"/>
    </row>
    <row r="56" spans="1:38" s="35" customFormat="1">
      <c r="L56" s="12" t="s">
        <v>24</v>
      </c>
      <c r="M56" s="12"/>
      <c r="N56" s="12"/>
      <c r="P56" s="156"/>
      <c r="Q56" s="157"/>
      <c r="R56" s="156"/>
      <c r="S56" s="156"/>
      <c r="T56" s="298" t="s">
        <v>24</v>
      </c>
      <c r="U56" s="156"/>
      <c r="V56" s="299">
        <f>V54/N54</f>
        <v>1.0596887372061592</v>
      </c>
      <c r="W56"/>
      <c r="Y56" s="157"/>
      <c r="Z56" s="156"/>
      <c r="AA56" s="156"/>
      <c r="AB56" s="298" t="s">
        <v>24</v>
      </c>
      <c r="AC56" s="156"/>
      <c r="AD56" s="184">
        <f>AD54/N54</f>
        <v>0.82045733269986032</v>
      </c>
      <c r="AE56"/>
      <c r="AG56" s="157"/>
      <c r="AH56" s="156"/>
      <c r="AI56" s="156"/>
      <c r="AJ56" s="298" t="s">
        <v>24</v>
      </c>
      <c r="AK56" s="156"/>
      <c r="AL56" s="184">
        <f>AL54/N54</f>
        <v>1.0455424861171565</v>
      </c>
    </row>
    <row r="57" spans="1:38">
      <c r="W57" s="187"/>
      <c r="AE57" s="187"/>
    </row>
    <row r="58" spans="1:38" s="73" customFormat="1" ht="20.100000000000001" hidden="1" customHeight="1">
      <c r="A58" s="71" t="s">
        <v>77</v>
      </c>
      <c r="B58" s="72"/>
      <c r="C58" s="72"/>
      <c r="D58" s="72"/>
      <c r="E58" s="72"/>
      <c r="H58" s="72"/>
      <c r="I58" s="72"/>
      <c r="J58" s="72"/>
      <c r="K58" s="72"/>
      <c r="L58" s="72"/>
      <c r="M58" s="72"/>
      <c r="N58" s="72"/>
      <c r="O58" s="72"/>
    </row>
    <row r="59" spans="1:38" hidden="1"/>
    <row r="60" spans="1:38" hidden="1"/>
    <row r="61" spans="1:38" ht="51.75" hidden="1">
      <c r="A61" t="s">
        <v>107</v>
      </c>
      <c r="D61" s="45" t="s">
        <v>1</v>
      </c>
      <c r="E61" s="45" t="s">
        <v>2</v>
      </c>
      <c r="F61" s="45"/>
      <c r="G61" s="3" t="s">
        <v>3</v>
      </c>
    </row>
    <row r="62" spans="1:38" ht="15.75" hidden="1" thickBot="1">
      <c r="A62" s="5" t="s">
        <v>63</v>
      </c>
      <c r="B62" s="1" t="s">
        <v>8</v>
      </c>
      <c r="C62" s="1"/>
      <c r="D62" s="6"/>
      <c r="G62" s="7">
        <v>73000</v>
      </c>
    </row>
    <row r="63" spans="1:38" ht="15.75" hidden="1" thickBot="1">
      <c r="A63" s="13" t="s">
        <v>64</v>
      </c>
      <c r="B63" s="1"/>
      <c r="C63" s="1"/>
      <c r="D63" s="4"/>
      <c r="G63" s="7">
        <f>(G62/365)/'Load Factor'!$C$22</f>
        <v>746.3250612876019</v>
      </c>
    </row>
    <row r="64" spans="1:38" hidden="1">
      <c r="A64" s="180" t="s">
        <v>101</v>
      </c>
      <c r="B64" s="162">
        <v>12000</v>
      </c>
      <c r="C64" s="1"/>
      <c r="D64" s="9"/>
      <c r="G64" s="223"/>
    </row>
    <row r="65" spans="1:7" hidden="1">
      <c r="A65" s="180" t="s">
        <v>102</v>
      </c>
      <c r="B65" s="162">
        <v>43083</v>
      </c>
      <c r="C65" s="1"/>
      <c r="D65" s="9"/>
      <c r="G65" s="9"/>
    </row>
    <row r="66" spans="1:7" hidden="1">
      <c r="A66" s="180" t="s">
        <v>103</v>
      </c>
      <c r="B66" s="162">
        <v>17917</v>
      </c>
      <c r="C66" s="1"/>
      <c r="D66" s="9"/>
      <c r="G66" s="9"/>
    </row>
    <row r="67" spans="1:7" hidden="1">
      <c r="A67" s="180" t="s">
        <v>104</v>
      </c>
      <c r="B67" s="163">
        <v>0</v>
      </c>
      <c r="C67" s="1"/>
      <c r="D67" s="9"/>
      <c r="E67" s="56"/>
      <c r="F67" s="56"/>
      <c r="G67" s="9"/>
    </row>
    <row r="68" spans="1:7" hidden="1">
      <c r="A68" s="38"/>
      <c r="B68" s="1"/>
      <c r="C68" s="1"/>
      <c r="D68" s="9"/>
      <c r="G68" s="39"/>
    </row>
    <row r="69" spans="1:7" hidden="1"/>
    <row r="70" spans="1:7" hidden="1"/>
    <row r="71" spans="1:7" ht="51.75" hidden="1">
      <c r="A71" t="s">
        <v>108</v>
      </c>
      <c r="D71" s="45" t="s">
        <v>1</v>
      </c>
      <c r="E71" s="45" t="s">
        <v>2</v>
      </c>
      <c r="F71" s="45"/>
      <c r="G71" s="3" t="s">
        <v>3</v>
      </c>
    </row>
    <row r="72" spans="1:7" ht="15.75" hidden="1" thickBot="1">
      <c r="A72" s="5" t="s">
        <v>63</v>
      </c>
      <c r="B72" s="1" t="s">
        <v>8</v>
      </c>
      <c r="C72" s="1"/>
      <c r="D72" s="6"/>
      <c r="G72" s="7">
        <v>73000</v>
      </c>
    </row>
    <row r="73" spans="1:7" ht="15.75" hidden="1" thickBot="1">
      <c r="A73" s="13" t="s">
        <v>64</v>
      </c>
      <c r="B73" s="1"/>
      <c r="C73" s="1"/>
      <c r="D73" s="4"/>
      <c r="G73" s="7">
        <f>(G72/365)/'Load Factor'!$C$22</f>
        <v>746.3250612876019</v>
      </c>
    </row>
    <row r="74" spans="1:7" hidden="1">
      <c r="A74" s="180" t="s">
        <v>101</v>
      </c>
      <c r="B74" s="162">
        <v>12000</v>
      </c>
      <c r="C74" s="1"/>
      <c r="D74" s="9"/>
      <c r="G74" s="223"/>
    </row>
    <row r="75" spans="1:7" hidden="1">
      <c r="A75" s="180" t="s">
        <v>102</v>
      </c>
      <c r="B75" s="162">
        <v>43083</v>
      </c>
      <c r="C75" s="1"/>
      <c r="D75" s="9"/>
      <c r="G75" s="9"/>
    </row>
    <row r="76" spans="1:7" hidden="1">
      <c r="A76" s="180" t="s">
        <v>103</v>
      </c>
      <c r="B76" s="162">
        <v>17917</v>
      </c>
      <c r="C76" s="1"/>
      <c r="D76" s="9"/>
      <c r="G76" s="9"/>
    </row>
    <row r="77" spans="1:7" hidden="1">
      <c r="A77" s="180" t="s">
        <v>104</v>
      </c>
      <c r="B77" s="163">
        <v>0</v>
      </c>
      <c r="C77" s="1"/>
      <c r="D77" s="9"/>
      <c r="E77" s="56"/>
      <c r="F77" s="56"/>
      <c r="G77" s="9"/>
    </row>
    <row r="78" spans="1:7" hidden="1">
      <c r="A78" s="38"/>
      <c r="B78" s="1"/>
      <c r="C78" s="1"/>
      <c r="D78" s="9"/>
      <c r="G78" s="39"/>
    </row>
  </sheetData>
  <mergeCells count="18">
    <mergeCell ref="AN33:AQ33"/>
    <mergeCell ref="AN45:AQ45"/>
    <mergeCell ref="AG2:AJ2"/>
    <mergeCell ref="AG3:AJ3"/>
    <mergeCell ref="AG12:AJ12"/>
    <mergeCell ref="AF21:AL21"/>
    <mergeCell ref="AN21:AQ21"/>
    <mergeCell ref="Y2:AB2"/>
    <mergeCell ref="Y3:AB3"/>
    <mergeCell ref="Y12:AB12"/>
    <mergeCell ref="X21:AD21"/>
    <mergeCell ref="A1:O1"/>
    <mergeCell ref="Q3:T3"/>
    <mergeCell ref="P21:V21"/>
    <mergeCell ref="Q2:T2"/>
    <mergeCell ref="I21:N21"/>
    <mergeCell ref="I2:M2"/>
    <mergeCell ref="Q12:T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4455-3CD0-401E-90AF-961DC76B7A7B}">
  <sheetPr codeName="Sheet10">
    <tabColor theme="9" tint="0.39997558519241921"/>
  </sheetPr>
  <dimension ref="A1:AN51"/>
  <sheetViews>
    <sheetView zoomScale="70" zoomScaleNormal="70" workbookViewId="0">
      <pane xSplit="3" ySplit="26" topLeftCell="D41" activePane="bottomRight" state="frozen"/>
      <selection pane="topRight" activeCell="D1" sqref="D1"/>
      <selection pane="bottomLeft" activeCell="A27" sqref="A27"/>
      <selection pane="bottomRight" activeCell="D27" sqref="D27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2.425781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1.42578125" customWidth="1"/>
    <col min="38" max="38" width="13.42578125" customWidth="1"/>
    <col min="39" max="39" width="11.42578125" customWidth="1"/>
    <col min="40" max="40" width="13.42578125" customWidth="1"/>
  </cols>
  <sheetData>
    <row r="1" spans="1:35" s="197" customFormat="1" ht="21">
      <c r="A1" s="443" t="s">
        <v>109</v>
      </c>
      <c r="B1" s="419"/>
      <c r="C1" s="419"/>
      <c r="D1" s="419"/>
      <c r="E1" s="419"/>
      <c r="F1" s="419"/>
      <c r="G1" s="419"/>
      <c r="H1" s="419"/>
      <c r="I1" s="419"/>
      <c r="J1" s="219"/>
    </row>
    <row r="2" spans="1:35" ht="13.5" customHeight="1">
      <c r="A2" s="58"/>
      <c r="B2" s="59"/>
      <c r="C2" s="59"/>
      <c r="D2" s="59"/>
      <c r="E2" s="59"/>
      <c r="F2" s="422" t="s">
        <v>33</v>
      </c>
      <c r="G2" s="423"/>
      <c r="H2" s="423"/>
      <c r="I2" s="423"/>
      <c r="J2" s="424"/>
      <c r="N2" s="433" t="s">
        <v>34</v>
      </c>
      <c r="O2" s="434"/>
      <c r="P2" s="434"/>
      <c r="Q2" s="435"/>
      <c r="V2" s="433" t="s">
        <v>35</v>
      </c>
      <c r="W2" s="434"/>
      <c r="X2" s="434"/>
      <c r="Y2" s="435"/>
      <c r="AD2" s="433" t="s">
        <v>36</v>
      </c>
      <c r="AE2" s="434"/>
      <c r="AF2" s="434"/>
      <c r="AG2" s="435"/>
    </row>
    <row r="3" spans="1:35" ht="13.5" customHeight="1">
      <c r="A3" s="58"/>
      <c r="B3" s="59"/>
      <c r="C3" s="59"/>
      <c r="D3" s="59"/>
      <c r="E3" s="59"/>
      <c r="F3" s="198"/>
      <c r="G3" s="199"/>
      <c r="H3" s="214" t="s">
        <v>12</v>
      </c>
      <c r="I3" s="214" t="s">
        <v>37</v>
      </c>
      <c r="J3" s="324" t="s">
        <v>16</v>
      </c>
      <c r="N3" s="437" t="s">
        <v>38</v>
      </c>
      <c r="O3" s="438"/>
      <c r="P3" s="438"/>
      <c r="Q3" s="439"/>
      <c r="V3" s="437" t="s">
        <v>38</v>
      </c>
      <c r="W3" s="438"/>
      <c r="X3" s="438"/>
      <c r="Y3" s="439"/>
      <c r="AD3" s="437" t="s">
        <v>38</v>
      </c>
      <c r="AE3" s="438"/>
      <c r="AF3" s="438"/>
      <c r="AG3" s="439"/>
    </row>
    <row r="4" spans="1:35" ht="13.5" customHeight="1">
      <c r="A4" s="58"/>
      <c r="B4" s="59"/>
      <c r="C4" s="59"/>
      <c r="D4" s="59"/>
      <c r="E4" s="59"/>
      <c r="F4" s="188" t="s">
        <v>39</v>
      </c>
      <c r="G4" s="43"/>
      <c r="H4" s="302">
        <v>25.85</v>
      </c>
      <c r="I4" s="302">
        <v>0</v>
      </c>
      <c r="J4" s="304">
        <v>25.85</v>
      </c>
      <c r="N4" s="191"/>
      <c r="O4" s="169" t="s">
        <v>12</v>
      </c>
      <c r="P4" s="169" t="s">
        <v>37</v>
      </c>
      <c r="Q4" s="192" t="s">
        <v>16</v>
      </c>
      <c r="V4" s="191"/>
      <c r="W4" s="169" t="s">
        <v>12</v>
      </c>
      <c r="X4" s="169" t="s">
        <v>37</v>
      </c>
      <c r="Y4" s="301" t="s">
        <v>16</v>
      </c>
      <c r="AD4" s="191"/>
      <c r="AE4" s="169" t="s">
        <v>12</v>
      </c>
      <c r="AF4" s="169" t="s">
        <v>37</v>
      </c>
      <c r="AG4" s="301" t="s">
        <v>16</v>
      </c>
    </row>
    <row r="5" spans="1:35" ht="13.5" customHeight="1">
      <c r="A5" s="58"/>
      <c r="B5" s="59"/>
      <c r="C5" s="59"/>
      <c r="D5" s="59"/>
      <c r="E5" s="59"/>
      <c r="F5" s="188" t="s">
        <v>110</v>
      </c>
      <c r="G5" s="43"/>
      <c r="H5" s="43"/>
      <c r="I5" s="43"/>
      <c r="J5" s="306"/>
      <c r="N5" s="188" t="s">
        <v>39</v>
      </c>
      <c r="O5" s="302">
        <v>29.097610156886343</v>
      </c>
      <c r="P5" s="302">
        <v>0</v>
      </c>
      <c r="Q5" s="323">
        <v>29.097610156886343</v>
      </c>
      <c r="V5" s="188" t="s">
        <v>39</v>
      </c>
      <c r="W5" s="302">
        <v>43.356502850029834</v>
      </c>
      <c r="X5" s="302">
        <v>0.24316628787601294</v>
      </c>
      <c r="Y5" s="304">
        <v>43.599669137905842</v>
      </c>
      <c r="AD5" s="186" t="s">
        <v>39</v>
      </c>
      <c r="AE5" s="302">
        <v>29.097610156886343</v>
      </c>
      <c r="AF5" s="302">
        <v>0</v>
      </c>
      <c r="AG5" s="304">
        <v>29.097610156886343</v>
      </c>
    </row>
    <row r="6" spans="1:35" ht="13.5" customHeight="1">
      <c r="A6" s="58"/>
      <c r="B6" s="59"/>
      <c r="C6" s="59"/>
      <c r="D6" s="59"/>
      <c r="E6" s="59"/>
      <c r="F6" s="190" t="s">
        <v>111</v>
      </c>
      <c r="G6" s="43"/>
      <c r="H6" s="303">
        <v>0.107068</v>
      </c>
      <c r="I6" s="303">
        <v>8.0100000000000006E-4</v>
      </c>
      <c r="J6" s="305">
        <v>0.10786899999999999</v>
      </c>
      <c r="K6" s="44"/>
      <c r="N6" s="188" t="s">
        <v>42</v>
      </c>
      <c r="O6" s="303">
        <v>0.60380931494179313</v>
      </c>
      <c r="P6" s="303">
        <v>1.0297157911143889E-2</v>
      </c>
      <c r="Q6" s="305">
        <v>0.61410647285293707</v>
      </c>
      <c r="R6" s="44"/>
      <c r="S6" s="44"/>
      <c r="T6" s="44"/>
      <c r="V6" s="188" t="s">
        <v>42</v>
      </c>
      <c r="W6" s="303">
        <v>0</v>
      </c>
      <c r="X6" s="303">
        <v>0</v>
      </c>
      <c r="Y6" s="305">
        <v>0</v>
      </c>
      <c r="Z6" s="44"/>
      <c r="AA6" s="44"/>
      <c r="AB6" s="44"/>
      <c r="AD6" s="188" t="s">
        <v>42</v>
      </c>
      <c r="AE6" s="303">
        <v>0</v>
      </c>
      <c r="AF6" s="303">
        <v>0</v>
      </c>
      <c r="AG6" s="305">
        <v>0</v>
      </c>
      <c r="AH6" s="44"/>
      <c r="AI6" s="44"/>
    </row>
    <row r="7" spans="1:35" ht="13.5" customHeight="1">
      <c r="A7" s="58"/>
      <c r="B7" s="59"/>
      <c r="C7" s="59"/>
      <c r="D7" s="59"/>
      <c r="E7" s="59"/>
      <c r="F7" s="190" t="s">
        <v>112</v>
      </c>
      <c r="G7" s="43"/>
      <c r="H7" s="303">
        <v>0.10437899999999999</v>
      </c>
      <c r="I7" s="303">
        <v>8.0100000000000006E-4</v>
      </c>
      <c r="J7" s="305">
        <v>0.10518</v>
      </c>
      <c r="N7" s="188" t="s">
        <v>44</v>
      </c>
      <c r="O7" s="303">
        <v>0</v>
      </c>
      <c r="P7" s="303">
        <v>3.918459579378311E-3</v>
      </c>
      <c r="Q7" s="305">
        <v>3.918459579378311E-3</v>
      </c>
      <c r="V7" s="188" t="s">
        <v>44</v>
      </c>
      <c r="W7" s="303">
        <v>0</v>
      </c>
      <c r="X7" s="303">
        <v>3.918459579378311E-3</v>
      </c>
      <c r="Y7" s="305">
        <v>3.918459579378311E-3</v>
      </c>
      <c r="AD7" s="188" t="s">
        <v>44</v>
      </c>
      <c r="AE7" s="303">
        <v>7.1816978237685708E-2</v>
      </c>
      <c r="AF7" s="303">
        <v>5.1432018072883291E-3</v>
      </c>
      <c r="AG7" s="305">
        <v>7.6960180044974028E-2</v>
      </c>
    </row>
    <row r="8" spans="1:35" ht="13.5" customHeight="1">
      <c r="A8" s="58"/>
      <c r="B8" s="59"/>
      <c r="C8" s="59"/>
      <c r="D8" s="59"/>
      <c r="E8" s="59"/>
      <c r="F8" s="190" t="s">
        <v>112</v>
      </c>
      <c r="G8" s="43"/>
      <c r="H8" s="303">
        <v>0.100116</v>
      </c>
      <c r="I8" s="303">
        <v>8.0100000000000006E-4</v>
      </c>
      <c r="J8" s="305">
        <v>0.10091699999999999</v>
      </c>
      <c r="N8" s="188" t="s">
        <v>46</v>
      </c>
      <c r="O8" s="303">
        <v>-8.6499021552362591E-4</v>
      </c>
      <c r="P8" s="303">
        <v>1.8448860866686262E-2</v>
      </c>
      <c r="Q8" s="305">
        <v>1.7583870651162636E-2</v>
      </c>
      <c r="R8" s="188"/>
      <c r="V8" s="188" t="s">
        <v>46</v>
      </c>
      <c r="W8" s="303">
        <v>-8.6499021552362591E-4</v>
      </c>
      <c r="X8" s="303">
        <v>1.8448860866686262E-2</v>
      </c>
      <c r="Y8" s="305">
        <v>1.7583870651162636E-2</v>
      </c>
      <c r="AD8" s="188" t="s">
        <v>46</v>
      </c>
      <c r="AE8" s="303">
        <v>-8.6499021552362591E-4</v>
      </c>
      <c r="AF8" s="303">
        <v>1.8448860866686262E-2</v>
      </c>
      <c r="AG8" s="305">
        <v>1.7583870651162636E-2</v>
      </c>
    </row>
    <row r="9" spans="1:35" ht="13.5" customHeight="1">
      <c r="A9" s="58"/>
      <c r="B9" s="59"/>
      <c r="C9" s="59"/>
      <c r="D9" s="59"/>
      <c r="E9" s="59"/>
      <c r="F9" s="190" t="s">
        <v>113</v>
      </c>
      <c r="G9" s="43"/>
      <c r="H9" s="303">
        <v>9.6204999999999999E-2</v>
      </c>
      <c r="I9" s="303">
        <v>8.0100000000000006E-4</v>
      </c>
      <c r="J9" s="305">
        <v>9.7005999999999995E-2</v>
      </c>
      <c r="N9" s="188" t="s">
        <v>48</v>
      </c>
      <c r="O9" s="303">
        <v>1.4047670012902582E-3</v>
      </c>
      <c r="P9" s="303">
        <v>0.14261380567437265</v>
      </c>
      <c r="Q9" s="305">
        <v>0.1440185726756629</v>
      </c>
      <c r="V9" s="188" t="s">
        <v>48</v>
      </c>
      <c r="W9" s="303">
        <v>1.4047670012902582E-3</v>
      </c>
      <c r="X9" s="303">
        <v>0.14261380567437265</v>
      </c>
      <c r="Y9" s="305">
        <v>0.1440185726756629</v>
      </c>
      <c r="AD9" s="188" t="s">
        <v>48</v>
      </c>
      <c r="AE9" s="303">
        <v>1.4047670012902582E-3</v>
      </c>
      <c r="AF9" s="303">
        <v>0.14261380567437265</v>
      </c>
      <c r="AG9" s="305">
        <v>0.1440185726756629</v>
      </c>
    </row>
    <row r="10" spans="1:35" ht="13.5" customHeight="1">
      <c r="A10" s="58"/>
      <c r="B10" s="59"/>
      <c r="C10" s="59"/>
      <c r="D10" s="59"/>
      <c r="E10" s="59"/>
      <c r="F10" s="190" t="s">
        <v>114</v>
      </c>
      <c r="G10" s="43"/>
      <c r="H10" s="303">
        <v>9.2970999999999984E-2</v>
      </c>
      <c r="I10" s="303">
        <v>8.0100000000000006E-4</v>
      </c>
      <c r="J10" s="305">
        <v>9.377199999999998E-2</v>
      </c>
      <c r="N10" s="191" t="s">
        <v>49</v>
      </c>
      <c r="O10" s="318"/>
      <c r="P10" s="318"/>
      <c r="Q10" s="307"/>
      <c r="U10" s="189"/>
      <c r="V10" s="191" t="s">
        <v>49</v>
      </c>
      <c r="W10" s="318"/>
      <c r="X10" s="318"/>
      <c r="Y10" s="307"/>
      <c r="AC10" s="189"/>
      <c r="AD10" s="191" t="s">
        <v>49</v>
      </c>
      <c r="AE10" s="318"/>
      <c r="AF10" s="318"/>
      <c r="AG10" s="307"/>
    </row>
    <row r="11" spans="1:35" ht="15.75" customHeight="1">
      <c r="A11" s="58"/>
      <c r="B11" s="59"/>
      <c r="C11" s="59"/>
      <c r="D11" s="59"/>
      <c r="E11" s="59"/>
      <c r="F11" s="188" t="s">
        <v>115</v>
      </c>
      <c r="G11" s="43"/>
      <c r="H11" s="303"/>
      <c r="I11" s="303"/>
      <c r="J11" s="305"/>
      <c r="AG11" s="199"/>
    </row>
    <row r="12" spans="1:35" ht="13.5" customHeight="1">
      <c r="A12" s="58"/>
      <c r="B12" s="59"/>
      <c r="C12" s="59"/>
      <c r="D12" s="59"/>
      <c r="E12" s="59"/>
      <c r="F12" s="188"/>
      <c r="G12" s="43"/>
      <c r="H12" s="303"/>
      <c r="I12" s="303"/>
      <c r="J12" s="305"/>
      <c r="N12" s="437" t="s">
        <v>52</v>
      </c>
      <c r="O12" s="438"/>
      <c r="P12" s="438"/>
      <c r="Q12" s="439"/>
      <c r="V12" s="437" t="s">
        <v>52</v>
      </c>
      <c r="W12" s="438"/>
      <c r="X12" s="438"/>
      <c r="Y12" s="439"/>
      <c r="AD12" s="437" t="s">
        <v>52</v>
      </c>
      <c r="AE12" s="438"/>
      <c r="AF12" s="438"/>
      <c r="AG12" s="439"/>
    </row>
    <row r="13" spans="1:35" ht="13.5" customHeight="1">
      <c r="A13" s="58"/>
      <c r="B13" s="59"/>
      <c r="C13" s="59"/>
      <c r="D13" s="59"/>
      <c r="E13" s="59"/>
      <c r="F13" s="188"/>
      <c r="G13" s="43"/>
      <c r="H13" s="303"/>
      <c r="I13" s="303"/>
      <c r="J13" s="305"/>
      <c r="N13" s="191"/>
      <c r="O13" s="169" t="s">
        <v>12</v>
      </c>
      <c r="P13" s="169" t="s">
        <v>37</v>
      </c>
      <c r="Q13" s="301" t="s">
        <v>16</v>
      </c>
      <c r="R13" s="44"/>
      <c r="S13" s="44"/>
      <c r="T13" s="44"/>
      <c r="V13" s="198"/>
      <c r="W13" s="300" t="s">
        <v>12</v>
      </c>
      <c r="X13" s="300" t="s">
        <v>37</v>
      </c>
      <c r="Y13" s="301" t="s">
        <v>16</v>
      </c>
      <c r="Z13" s="44"/>
      <c r="AA13" s="44"/>
      <c r="AB13" s="44"/>
      <c r="AD13" s="198"/>
      <c r="AE13" s="300" t="s">
        <v>12</v>
      </c>
      <c r="AF13" s="300" t="s">
        <v>37</v>
      </c>
      <c r="AG13" s="301" t="s">
        <v>16</v>
      </c>
      <c r="AH13" s="44"/>
      <c r="AI13" s="44"/>
    </row>
    <row r="14" spans="1:35" ht="13.5" customHeight="1">
      <c r="A14" s="58"/>
      <c r="B14" s="59"/>
      <c r="C14" s="59"/>
      <c r="D14" s="59"/>
      <c r="E14" s="59"/>
      <c r="F14" s="188" t="s">
        <v>116</v>
      </c>
      <c r="G14" s="43"/>
      <c r="H14" s="303">
        <v>-4.254E-3</v>
      </c>
      <c r="I14" s="303">
        <v>3.7242999999999998E-2</v>
      </c>
      <c r="J14" s="305">
        <v>3.2988999999999997E-2</v>
      </c>
      <c r="N14" s="186" t="s">
        <v>39</v>
      </c>
      <c r="O14" s="312">
        <v>29.097610156886343</v>
      </c>
      <c r="P14" s="327">
        <v>0</v>
      </c>
      <c r="Q14" s="312">
        <v>29.097610156886343</v>
      </c>
      <c r="V14" s="188" t="s">
        <v>39</v>
      </c>
      <c r="W14" s="302">
        <v>501.89065855250084</v>
      </c>
      <c r="X14" s="302">
        <v>7.7349531222224197</v>
      </c>
      <c r="Y14" s="323">
        <v>509.6256116747233</v>
      </c>
      <c r="AD14" s="188" t="s">
        <v>39</v>
      </c>
      <c r="AE14" s="302">
        <v>29.1</v>
      </c>
      <c r="AF14" s="302">
        <v>0</v>
      </c>
      <c r="AG14" s="304">
        <v>29.1</v>
      </c>
    </row>
    <row r="15" spans="1:35" ht="13.5" customHeight="1">
      <c r="A15" s="58"/>
      <c r="B15" s="59"/>
      <c r="C15" s="59"/>
      <c r="D15" s="59"/>
      <c r="E15" s="59"/>
      <c r="F15" s="188" t="s">
        <v>117</v>
      </c>
      <c r="G15" s="43"/>
      <c r="H15" s="303">
        <v>-1.5229999999999998E-3</v>
      </c>
      <c r="I15" s="303">
        <v>2.0857000000000001E-2</v>
      </c>
      <c r="J15" s="305">
        <v>1.9334000000000004E-2</v>
      </c>
      <c r="M15" s="189"/>
      <c r="N15" s="188" t="s">
        <v>42</v>
      </c>
      <c r="O15" s="303">
        <v>0.6249848683706285</v>
      </c>
      <c r="P15" s="303">
        <v>1.0224830240947344E-2</v>
      </c>
      <c r="Q15" s="305">
        <v>0.63520969861157583</v>
      </c>
      <c r="V15" t="s">
        <v>42</v>
      </c>
      <c r="W15" s="303">
        <v>0</v>
      </c>
      <c r="X15" s="303">
        <v>0</v>
      </c>
      <c r="Y15" s="305">
        <v>0</v>
      </c>
      <c r="AD15" s="188" t="s">
        <v>42</v>
      </c>
      <c r="AE15" s="303">
        <v>0</v>
      </c>
      <c r="AF15" s="303">
        <v>0</v>
      </c>
      <c r="AG15" s="305">
        <v>0</v>
      </c>
    </row>
    <row r="16" spans="1:35" ht="14.1" customHeight="1">
      <c r="A16" s="58"/>
      <c r="B16" s="59"/>
      <c r="C16" s="59"/>
      <c r="D16" s="59"/>
      <c r="E16" s="59"/>
      <c r="F16" s="188" t="s">
        <v>115</v>
      </c>
      <c r="G16" s="43"/>
      <c r="H16" s="303"/>
      <c r="I16" s="303"/>
      <c r="J16" s="305"/>
      <c r="M16" s="189"/>
      <c r="N16" s="188" t="s">
        <v>44</v>
      </c>
      <c r="O16" s="303">
        <v>0</v>
      </c>
      <c r="P16" s="303">
        <v>3.8691587178757546E-3</v>
      </c>
      <c r="Q16" s="305">
        <v>3.8691587178757546E-3</v>
      </c>
      <c r="V16" s="188" t="s">
        <v>44</v>
      </c>
      <c r="W16" s="303">
        <v>0</v>
      </c>
      <c r="X16" s="303">
        <v>3.8691587178757546E-3</v>
      </c>
      <c r="Y16" s="305">
        <v>3.8691587178757546E-3</v>
      </c>
      <c r="AC16" s="189"/>
      <c r="AD16" s="188" t="s">
        <v>44</v>
      </c>
      <c r="AE16" s="303">
        <v>7.3483235816392656E-2</v>
      </c>
      <c r="AF16" s="303">
        <v>5.0713536025886255E-3</v>
      </c>
      <c r="AG16" s="305">
        <v>7.8554589418981288E-2</v>
      </c>
    </row>
    <row r="17" spans="1:40" ht="13.5" customHeight="1">
      <c r="A17" s="58"/>
      <c r="B17" s="59"/>
      <c r="C17" s="59"/>
      <c r="D17" s="59"/>
      <c r="E17" s="59"/>
      <c r="F17" s="188" t="s">
        <v>118</v>
      </c>
      <c r="G17" s="43"/>
      <c r="H17" s="303">
        <v>1.8207999999999998E-2</v>
      </c>
      <c r="I17" s="303">
        <v>4.2329999999999998E-3</v>
      </c>
      <c r="J17" s="305">
        <v>2.2440999999999999E-2</v>
      </c>
      <c r="M17" s="189"/>
      <c r="N17" s="188" t="s">
        <v>46</v>
      </c>
      <c r="O17" s="303">
        <v>-8.2032059994183301E-4</v>
      </c>
      <c r="P17" s="303">
        <v>1.6631227319793405E-2</v>
      </c>
      <c r="Q17" s="305">
        <v>1.5810906719851574E-2</v>
      </c>
      <c r="V17" s="188" t="s">
        <v>46</v>
      </c>
      <c r="W17" s="303">
        <v>-8.2032059994183301E-4</v>
      </c>
      <c r="X17" s="303">
        <v>1.6631227319793405E-2</v>
      </c>
      <c r="Y17" s="305">
        <v>1.5810906719851574E-2</v>
      </c>
      <c r="AC17" s="189"/>
      <c r="AD17" s="188" t="s">
        <v>46</v>
      </c>
      <c r="AE17" s="303">
        <v>-8.2032059994183301E-4</v>
      </c>
      <c r="AF17" s="303">
        <v>1.6631227319793405E-2</v>
      </c>
      <c r="AG17" s="305">
        <v>1.5810906719851574E-2</v>
      </c>
    </row>
    <row r="18" spans="1:40" ht="13.5" customHeight="1">
      <c r="A18" s="58"/>
      <c r="B18" s="59"/>
      <c r="C18" s="59"/>
      <c r="D18" s="59"/>
      <c r="E18" s="59"/>
      <c r="F18" s="188" t="s">
        <v>119</v>
      </c>
      <c r="G18" s="43"/>
      <c r="H18" s="303">
        <v>2.2973E-2</v>
      </c>
      <c r="I18" s="303">
        <v>3.6373999999999997E-2</v>
      </c>
      <c r="J18" s="305">
        <v>5.9346999999999997E-2</v>
      </c>
      <c r="M18" s="189"/>
      <c r="N18" s="188" t="s">
        <v>48</v>
      </c>
      <c r="O18" s="303">
        <v>1.4047670012902586E-3</v>
      </c>
      <c r="P18" s="303">
        <v>0.14261380567437262</v>
      </c>
      <c r="Q18" s="305">
        <v>0.1440185726756629</v>
      </c>
      <c r="V18" s="188" t="s">
        <v>48</v>
      </c>
      <c r="W18" s="303">
        <v>1.4047670012902586E-3</v>
      </c>
      <c r="X18" s="303">
        <v>0.14261380567437262</v>
      </c>
      <c r="Y18" s="305">
        <v>0.1440185726756629</v>
      </c>
      <c r="AC18" s="189"/>
      <c r="AD18" s="188" t="s">
        <v>48</v>
      </c>
      <c r="AE18" s="303">
        <v>1.4047670012902586E-3</v>
      </c>
      <c r="AF18" s="303">
        <v>0.14261380567437262</v>
      </c>
      <c r="AG18" s="305">
        <v>0.1440185726756629</v>
      </c>
    </row>
    <row r="19" spans="1:40" ht="12.95" customHeight="1">
      <c r="A19" s="58"/>
      <c r="B19" s="59"/>
      <c r="C19" s="59"/>
      <c r="D19" s="59"/>
      <c r="E19" s="59"/>
      <c r="F19" s="188" t="s">
        <v>115</v>
      </c>
      <c r="G19" s="43"/>
      <c r="H19" s="303"/>
      <c r="I19" s="303"/>
      <c r="J19" s="305"/>
      <c r="M19" s="189"/>
      <c r="N19" s="191" t="s">
        <v>49</v>
      </c>
      <c r="O19" s="318"/>
      <c r="P19" s="318"/>
      <c r="Q19" s="307"/>
      <c r="V19" s="191" t="s">
        <v>49</v>
      </c>
      <c r="W19" s="318"/>
      <c r="X19" s="318"/>
      <c r="Y19" s="307"/>
      <c r="AC19" s="189"/>
      <c r="AD19" s="191" t="s">
        <v>49</v>
      </c>
      <c r="AE19" s="318"/>
      <c r="AF19" s="318"/>
      <c r="AG19" s="307"/>
    </row>
    <row r="20" spans="1:40" ht="13.5" customHeight="1">
      <c r="A20" s="58"/>
      <c r="B20" s="59"/>
      <c r="C20" s="59"/>
      <c r="D20" s="59"/>
      <c r="E20" s="59"/>
      <c r="F20" s="188" t="s">
        <v>120</v>
      </c>
      <c r="G20" s="43"/>
      <c r="H20" s="303">
        <v>2.1410000000000001E-3</v>
      </c>
      <c r="I20" s="303">
        <v>0.10781</v>
      </c>
      <c r="J20" s="305">
        <v>0.10995100000000001</v>
      </c>
      <c r="N20" s="187"/>
      <c r="O20" s="187"/>
      <c r="P20" s="187"/>
      <c r="Q20" s="187"/>
    </row>
    <row r="21" spans="1:40" ht="13.5" customHeight="1">
      <c r="A21" s="58"/>
      <c r="B21" s="59"/>
      <c r="C21" s="59"/>
      <c r="D21" s="59"/>
      <c r="E21" s="59"/>
      <c r="F21" s="188" t="s">
        <v>121</v>
      </c>
      <c r="G21" s="43"/>
      <c r="H21" s="303">
        <v>2.1410000000000001E-3</v>
      </c>
      <c r="I21" s="303">
        <v>0.15920526479289632</v>
      </c>
      <c r="J21" s="305">
        <v>0.16134626479289629</v>
      </c>
    </row>
    <row r="22" spans="1:40" ht="13.5" customHeight="1">
      <c r="A22" s="58"/>
      <c r="B22" s="59"/>
      <c r="C22" s="59"/>
      <c r="D22" s="59"/>
      <c r="E22" s="59"/>
      <c r="F22" s="188" t="s">
        <v>115</v>
      </c>
      <c r="G22" s="43"/>
      <c r="H22" s="303"/>
      <c r="I22" s="303"/>
      <c r="J22" s="305"/>
    </row>
    <row r="23" spans="1:40" ht="13.5" customHeight="1">
      <c r="A23" s="58"/>
      <c r="B23" s="59"/>
      <c r="C23" s="59"/>
      <c r="D23" s="59"/>
      <c r="E23" s="59"/>
      <c r="F23" s="188" t="s">
        <v>49</v>
      </c>
      <c r="G23" s="43"/>
      <c r="H23" s="303"/>
      <c r="I23" s="303"/>
      <c r="J23" s="307"/>
    </row>
    <row r="24" spans="1:40" ht="21">
      <c r="A24" s="58"/>
      <c r="B24" s="59"/>
      <c r="C24" s="59"/>
      <c r="D24" s="59"/>
      <c r="E24" s="59"/>
      <c r="F24" s="288"/>
      <c r="G24" s="288"/>
      <c r="H24" s="288"/>
      <c r="I24" s="288"/>
      <c r="J24" s="187"/>
    </row>
    <row r="25" spans="1:40" s="40" customFormat="1" ht="23.25">
      <c r="A25" s="41" t="s">
        <v>122</v>
      </c>
    </row>
    <row r="26" spans="1:40" ht="24" thickBot="1">
      <c r="A26" s="203"/>
      <c r="E26" s="428" t="s">
        <v>33</v>
      </c>
      <c r="F26" s="428"/>
      <c r="G26" s="428"/>
      <c r="H26" s="428"/>
      <c r="I26" s="428"/>
      <c r="J26" s="428"/>
      <c r="K26" s="428"/>
      <c r="M26" s="428" t="s">
        <v>34</v>
      </c>
      <c r="N26" s="428"/>
      <c r="O26" s="428"/>
      <c r="P26" s="428"/>
      <c r="Q26" s="428"/>
      <c r="R26" s="428"/>
      <c r="S26" s="428"/>
      <c r="T26" s="263"/>
      <c r="U26" s="428" t="s">
        <v>35</v>
      </c>
      <c r="V26" s="428"/>
      <c r="W26" s="428"/>
      <c r="X26" s="428"/>
      <c r="Y26" s="428"/>
      <c r="Z26" s="428"/>
      <c r="AA26" s="428"/>
      <c r="AB26" s="263"/>
      <c r="AC26" s="428" t="s">
        <v>123</v>
      </c>
      <c r="AD26" s="428"/>
      <c r="AE26" s="428"/>
      <c r="AF26" s="428"/>
      <c r="AG26" s="428"/>
      <c r="AH26" s="428"/>
      <c r="AI26" s="428"/>
      <c r="AK26" s="417"/>
      <c r="AL26" s="417"/>
      <c r="AM26" s="417"/>
      <c r="AN26" s="417"/>
    </row>
    <row r="27" spans="1:40" ht="40.5" customHeight="1" thickTop="1" thickBot="1">
      <c r="A27" t="s">
        <v>26</v>
      </c>
      <c r="D27" s="14"/>
      <c r="E27" s="3"/>
      <c r="F27" s="3"/>
      <c r="G27" s="3"/>
      <c r="H27" s="47" t="s">
        <v>59</v>
      </c>
      <c r="I27" s="47" t="s">
        <v>60</v>
      </c>
      <c r="J27" s="45" t="s">
        <v>61</v>
      </c>
      <c r="K27" s="47" t="s">
        <v>62</v>
      </c>
      <c r="M27" s="3"/>
      <c r="N27" s="3"/>
      <c r="O27" s="3"/>
      <c r="P27" s="47" t="s">
        <v>59</v>
      </c>
      <c r="Q27" s="47" t="s">
        <v>60</v>
      </c>
      <c r="R27" s="45" t="s">
        <v>61</v>
      </c>
      <c r="S27" s="47" t="s">
        <v>62</v>
      </c>
      <c r="T27" s="47"/>
      <c r="U27" s="3"/>
      <c r="V27" s="3"/>
      <c r="W27" s="3"/>
      <c r="X27" s="47" t="s">
        <v>59</v>
      </c>
      <c r="Y27" s="47" t="s">
        <v>60</v>
      </c>
      <c r="Z27" s="45" t="s">
        <v>61</v>
      </c>
      <c r="AA27" s="47" t="s">
        <v>62</v>
      </c>
      <c r="AB27" s="47"/>
      <c r="AC27" s="3"/>
      <c r="AD27" s="3"/>
      <c r="AE27" s="3"/>
      <c r="AF27" s="47" t="s">
        <v>59</v>
      </c>
      <c r="AG27" s="47" t="s">
        <v>60</v>
      </c>
      <c r="AH27" s="45" t="s">
        <v>61</v>
      </c>
      <c r="AI27" s="47" t="s">
        <v>62</v>
      </c>
      <c r="AK27" s="196"/>
      <c r="AL27" s="196"/>
      <c r="AM27" s="196"/>
      <c r="AN27" s="196"/>
    </row>
    <row r="28" spans="1:40" ht="16.5" thickTop="1" thickBot="1">
      <c r="A28" s="5" t="s">
        <v>63</v>
      </c>
      <c r="B28" s="1" t="s">
        <v>8</v>
      </c>
      <c r="C28" s="7">
        <v>2200</v>
      </c>
      <c r="D28" s="14"/>
      <c r="E28" s="14"/>
      <c r="F28" s="5"/>
      <c r="G28" s="1"/>
      <c r="H28" s="14"/>
      <c r="I28" s="14"/>
      <c r="J28" s="14"/>
      <c r="K28" s="14"/>
      <c r="M28" s="14"/>
      <c r="N28" s="5"/>
      <c r="O28" s="1"/>
      <c r="P28" s="14"/>
      <c r="Q28" s="14"/>
      <c r="R28" s="14"/>
      <c r="S28" s="14"/>
      <c r="T28" s="14"/>
      <c r="U28" s="14"/>
      <c r="V28" s="5"/>
      <c r="W28" s="1"/>
      <c r="X28" s="14"/>
      <c r="Y28" s="14"/>
      <c r="Z28" s="14"/>
      <c r="AA28" s="14"/>
      <c r="AB28" s="14"/>
      <c r="AC28" s="14"/>
      <c r="AD28" s="5"/>
      <c r="AE28" s="1"/>
      <c r="AF28" s="14"/>
      <c r="AG28" s="14"/>
      <c r="AH28" s="14"/>
      <c r="AI28" s="14"/>
      <c r="AK28" s="224"/>
      <c r="AL28" s="224"/>
      <c r="AM28" s="224"/>
      <c r="AN28" s="224"/>
    </row>
    <row r="29" spans="1:40" ht="15.75" thickBot="1">
      <c r="A29" s="13" t="s">
        <v>64</v>
      </c>
      <c r="B29" s="1"/>
      <c r="C29" s="7">
        <f>(C28/365)/'Load Factor'!$C$4</f>
        <v>20.047924054829341</v>
      </c>
      <c r="D29" s="36"/>
      <c r="E29" s="46"/>
      <c r="F29" s="13"/>
      <c r="G29" s="1"/>
      <c r="H29" s="46"/>
      <c r="I29" s="46"/>
      <c r="J29" s="46"/>
      <c r="K29" s="46"/>
      <c r="M29" s="46"/>
      <c r="N29" s="13"/>
      <c r="O29" s="1"/>
      <c r="P29" s="46"/>
      <c r="Q29" s="46"/>
      <c r="R29" s="46"/>
      <c r="S29" s="46"/>
      <c r="T29" s="46"/>
      <c r="U29" s="46"/>
      <c r="V29" s="13"/>
      <c r="W29" s="1"/>
      <c r="X29" s="46"/>
      <c r="Y29" s="46"/>
      <c r="Z29" s="46"/>
      <c r="AA29" s="46"/>
      <c r="AB29" s="46"/>
      <c r="AC29" s="46"/>
      <c r="AD29" s="13"/>
      <c r="AE29" s="1"/>
      <c r="AF29" s="46"/>
      <c r="AG29" s="46"/>
      <c r="AH29" s="46"/>
      <c r="AI29" s="46"/>
    </row>
    <row r="30" spans="1:40">
      <c r="A30" s="8" t="s">
        <v>111</v>
      </c>
      <c r="B30" s="204">
        <v>1006.8</v>
      </c>
      <c r="C30" s="36"/>
      <c r="D30" s="9"/>
      <c r="E30" s="9"/>
      <c r="F30" t="s">
        <v>94</v>
      </c>
      <c r="G30" s="1" t="s">
        <v>11</v>
      </c>
      <c r="H30" s="9">
        <f>$H$4</f>
        <v>25.85</v>
      </c>
      <c r="I30" s="9">
        <f>H30*12</f>
        <v>310.20000000000005</v>
      </c>
      <c r="J30" s="9">
        <f>$I$4*12</f>
        <v>0</v>
      </c>
      <c r="K30" s="9">
        <f t="shared" ref="K30:K32" si="0">SUM(I30:J30)</f>
        <v>310.20000000000005</v>
      </c>
      <c r="M30" s="9"/>
      <c r="N30" s="8" t="s">
        <v>124</v>
      </c>
      <c r="O30" s="1" t="s">
        <v>11</v>
      </c>
      <c r="P30" s="9">
        <f>$O$5</f>
        <v>29.097610156886343</v>
      </c>
      <c r="Q30" s="9">
        <f>P30*12</f>
        <v>349.17132188263611</v>
      </c>
      <c r="R30" s="9">
        <f>$P$5*12</f>
        <v>0</v>
      </c>
      <c r="S30" s="9">
        <f>SUM(Q30:R30)</f>
        <v>349.17132188263611</v>
      </c>
      <c r="T30" s="9"/>
      <c r="U30" s="9"/>
      <c r="V30" s="8" t="s">
        <v>124</v>
      </c>
      <c r="W30" s="1" t="s">
        <v>11</v>
      </c>
      <c r="X30" s="9"/>
      <c r="Y30" s="9">
        <f>$W$5*12</f>
        <v>520.27803420035798</v>
      </c>
      <c r="Z30" s="9">
        <f>$X$5*12</f>
        <v>2.9179954545121554</v>
      </c>
      <c r="AA30" s="9">
        <f>SUM(Y30:Z30)</f>
        <v>523.19602965487013</v>
      </c>
      <c r="AB30" s="9"/>
      <c r="AC30" s="9"/>
      <c r="AD30" s="8" t="s">
        <v>124</v>
      </c>
      <c r="AE30" s="1" t="s">
        <v>11</v>
      </c>
      <c r="AF30" s="269">
        <f>$AE$5</f>
        <v>29.097610156886343</v>
      </c>
      <c r="AG30" s="9">
        <f>AF30*12</f>
        <v>349.17132188263611</v>
      </c>
      <c r="AH30" s="9">
        <f>$AF$5*12</f>
        <v>0</v>
      </c>
      <c r="AI30" s="9">
        <f>SUM(AG30:AH30)</f>
        <v>349.17132188263611</v>
      </c>
    </row>
    <row r="31" spans="1:40">
      <c r="A31" s="8" t="s">
        <v>112</v>
      </c>
      <c r="B31" s="204">
        <v>973.40000000000009</v>
      </c>
      <c r="C31" s="9"/>
      <c r="D31" s="9"/>
      <c r="E31" s="9"/>
      <c r="F31" t="s">
        <v>125</v>
      </c>
      <c r="G31" s="1" t="s">
        <v>11</v>
      </c>
      <c r="H31" s="9"/>
      <c r="I31" s="9">
        <f>SUMPRODUCT($H$6:$H$10,B30:B34)</f>
        <v>231.40407779999998</v>
      </c>
      <c r="J31" s="9">
        <f>SUMPRODUCT($I$6:$I$10,B30:B34)</f>
        <v>1.7622</v>
      </c>
      <c r="K31" s="9">
        <f>SUM(I31:J31)</f>
        <v>233.16627779999999</v>
      </c>
      <c r="M31" s="9"/>
      <c r="N31" s="8" t="s">
        <v>42</v>
      </c>
      <c r="O31" s="1" t="s">
        <v>11</v>
      </c>
      <c r="P31" s="9"/>
      <c r="Q31" s="9">
        <f>$O$6*C29*12</f>
        <v>145.26147947461919</v>
      </c>
      <c r="R31" s="9">
        <f>$P$6*C29*12</f>
        <v>2.4772396773983738</v>
      </c>
      <c r="S31" s="9">
        <f>SUM(Q31:R31)</f>
        <v>147.73871915201758</v>
      </c>
      <c r="T31" s="9"/>
      <c r="U31" s="9"/>
      <c r="V31" s="8"/>
      <c r="W31" s="1"/>
      <c r="X31" s="9"/>
      <c r="Y31" s="9"/>
      <c r="Z31" s="9"/>
      <c r="AA31" s="9"/>
      <c r="AB31" s="9"/>
      <c r="AC31" s="9"/>
      <c r="AD31" s="8"/>
      <c r="AE31" s="1"/>
      <c r="AF31" s="9"/>
      <c r="AG31" s="9"/>
      <c r="AH31" s="9"/>
      <c r="AI31" s="9"/>
    </row>
    <row r="32" spans="1:40">
      <c r="A32" s="8" t="s">
        <v>112</v>
      </c>
      <c r="B32" s="204">
        <v>219.8</v>
      </c>
      <c r="C32" s="9"/>
      <c r="D32" s="9"/>
      <c r="E32" s="9"/>
      <c r="F32" t="s">
        <v>53</v>
      </c>
      <c r="G32" s="1" t="s">
        <v>11</v>
      </c>
      <c r="I32" s="270">
        <f>$H$14*C28</f>
        <v>-9.3588000000000005</v>
      </c>
      <c r="J32" s="9">
        <f>$I$14*C28</f>
        <v>81.934600000000003</v>
      </c>
      <c r="K32" s="9">
        <f t="shared" si="0"/>
        <v>72.575800000000001</v>
      </c>
      <c r="M32" s="9"/>
      <c r="N32" s="8" t="s">
        <v>44</v>
      </c>
      <c r="O32" s="1" t="s">
        <v>11</v>
      </c>
      <c r="Q32" s="44">
        <f>$O$7*C28</f>
        <v>0</v>
      </c>
      <c r="R32" s="9">
        <f>$P$7*C28</f>
        <v>8.6206110746322846</v>
      </c>
      <c r="S32" s="9">
        <f>SUM(Q32:R32)</f>
        <v>8.6206110746322846</v>
      </c>
      <c r="T32" s="9"/>
      <c r="U32" s="9"/>
      <c r="V32" s="8" t="s">
        <v>44</v>
      </c>
      <c r="W32" s="1" t="s">
        <v>11</v>
      </c>
      <c r="Y32" s="270">
        <f>$W$7*C28</f>
        <v>0</v>
      </c>
      <c r="Z32" s="9">
        <f>$X$7*C28</f>
        <v>8.6206110746322846</v>
      </c>
      <c r="AA32" s="9">
        <f>SUM(Y32:Z32)</f>
        <v>8.6206110746322846</v>
      </c>
      <c r="AB32" s="9"/>
      <c r="AC32" s="9"/>
      <c r="AD32" s="8" t="s">
        <v>44</v>
      </c>
      <c r="AE32" s="1" t="s">
        <v>11</v>
      </c>
      <c r="AG32" s="270">
        <f>$AE$7*C28</f>
        <v>157.99735212290855</v>
      </c>
      <c r="AH32" s="9">
        <f>$AF$7*C28</f>
        <v>11.315043976034325</v>
      </c>
      <c r="AI32" s="9">
        <f>SUM(AG32:AH32)</f>
        <v>169.31239609894288</v>
      </c>
    </row>
    <row r="33" spans="1:40">
      <c r="A33" s="8" t="s">
        <v>113</v>
      </c>
      <c r="B33" s="204">
        <v>0</v>
      </c>
      <c r="C33" s="9"/>
      <c r="D33" s="9"/>
      <c r="F33" t="s">
        <v>126</v>
      </c>
      <c r="G33" s="1" t="s">
        <v>11</v>
      </c>
      <c r="I33" s="270">
        <f>$H$17*C28</f>
        <v>40.057599999999994</v>
      </c>
      <c r="J33" s="9">
        <f>$I$17*C28</f>
        <v>9.3125999999999998</v>
      </c>
      <c r="K33" s="9">
        <f>SUM(I33:J33)</f>
        <v>49.370199999999997</v>
      </c>
      <c r="N33" s="8" t="s">
        <v>14</v>
      </c>
      <c r="O33" s="1" t="s">
        <v>11</v>
      </c>
      <c r="Q33" s="259">
        <f>$O$8*C28</f>
        <v>-1.9029784741519771</v>
      </c>
      <c r="R33" s="259">
        <f>$P$8*C28</f>
        <v>40.587493906709774</v>
      </c>
      <c r="S33" s="259">
        <f>Q33+R33</f>
        <v>38.684515432557795</v>
      </c>
      <c r="T33" s="9"/>
      <c r="V33" s="168" t="s">
        <v>14</v>
      </c>
      <c r="W33" s="260" t="s">
        <v>11</v>
      </c>
      <c r="X33" s="168"/>
      <c r="Y33" s="259">
        <f>$W$8*C28</f>
        <v>-1.9029784741519771</v>
      </c>
      <c r="Z33" s="259">
        <f>$X$8*C28</f>
        <v>40.587493906709774</v>
      </c>
      <c r="AA33" s="259">
        <f>Y33+Z33</f>
        <v>38.684515432557795</v>
      </c>
      <c r="AB33" s="9"/>
      <c r="AD33" s="168" t="s">
        <v>14</v>
      </c>
      <c r="AE33" s="260" t="s">
        <v>11</v>
      </c>
      <c r="AF33" s="168"/>
      <c r="AG33" s="259">
        <f>$AE$8*C28</f>
        <v>-1.9029784741519771</v>
      </c>
      <c r="AH33" s="259">
        <f>$AF$8*C28</f>
        <v>40.587493906709774</v>
      </c>
      <c r="AI33" s="259">
        <f>AG33+AH33</f>
        <v>38.684515432557795</v>
      </c>
    </row>
    <row r="34" spans="1:40">
      <c r="A34" s="8" t="s">
        <v>114</v>
      </c>
      <c r="B34" s="205">
        <v>0</v>
      </c>
      <c r="C34" s="9"/>
      <c r="D34" s="39"/>
      <c r="E34" s="9"/>
      <c r="F34" t="s">
        <v>120</v>
      </c>
      <c r="G34" s="1" t="s">
        <v>11</v>
      </c>
      <c r="H34" s="9"/>
      <c r="I34" s="285">
        <f>$H$20*C28</f>
        <v>4.7102000000000004</v>
      </c>
      <c r="J34" s="285">
        <f>$I$20*C28</f>
        <v>237.18200000000002</v>
      </c>
      <c r="K34" s="9">
        <f>SUM(I34:J34)</f>
        <v>241.8922</v>
      </c>
      <c r="M34" s="9"/>
      <c r="N34" s="8" t="s">
        <v>48</v>
      </c>
      <c r="O34" s="1" t="s">
        <v>11</v>
      </c>
      <c r="P34" s="9"/>
      <c r="Q34" s="9">
        <f>$O$9*C28</f>
        <v>3.0904874028385678</v>
      </c>
      <c r="R34" s="9">
        <f>$P$9*C28</f>
        <v>313.75037248361986</v>
      </c>
      <c r="S34" s="9">
        <f>SUM(Q34:R34)</f>
        <v>316.84085988645842</v>
      </c>
      <c r="T34" s="9"/>
      <c r="U34" s="9"/>
      <c r="V34" s="8" t="s">
        <v>48</v>
      </c>
      <c r="W34" s="1" t="s">
        <v>11</v>
      </c>
      <c r="X34" s="9"/>
      <c r="Y34" s="9">
        <f>$W$9*C28</f>
        <v>3.0904874028385678</v>
      </c>
      <c r="Z34" s="9">
        <f>$X$9*C28</f>
        <v>313.75037248361986</v>
      </c>
      <c r="AA34" s="9">
        <f>SUM(Y34:Z34)</f>
        <v>316.84085988645842</v>
      </c>
      <c r="AB34" s="9"/>
      <c r="AC34" s="9"/>
      <c r="AD34" s="8" t="s">
        <v>48</v>
      </c>
      <c r="AE34" s="1" t="s">
        <v>11</v>
      </c>
      <c r="AF34" s="9"/>
      <c r="AG34" s="9">
        <f>$AE$9*C28</f>
        <v>3.0904874028385678</v>
      </c>
      <c r="AH34" s="9">
        <f>$AF$9*C28</f>
        <v>313.75037248361986</v>
      </c>
      <c r="AI34" s="9">
        <f>SUM(AG34:AH34)</f>
        <v>316.84085988645842</v>
      </c>
    </row>
    <row r="35" spans="1:40">
      <c r="A35" s="38"/>
      <c r="B35" s="1"/>
      <c r="C35" s="39"/>
      <c r="D35" s="39"/>
      <c r="E35" s="39"/>
      <c r="F35" s="38" t="s">
        <v>74</v>
      </c>
      <c r="G35" s="1" t="s">
        <v>11</v>
      </c>
      <c r="H35" s="39"/>
      <c r="I35" s="39">
        <f>SUM(I30:I34)</f>
        <v>577.01307780000002</v>
      </c>
      <c r="J35" s="39">
        <f>SUM(J30:J34)</f>
        <v>330.19140000000004</v>
      </c>
      <c r="K35" s="39">
        <f>SUM(K30:K34)</f>
        <v>907.20447779999995</v>
      </c>
      <c r="M35" s="39"/>
      <c r="N35" s="38" t="s">
        <v>74</v>
      </c>
      <c r="O35" s="1" t="s">
        <v>11</v>
      </c>
      <c r="P35" s="39"/>
      <c r="Q35" s="39">
        <f>SUM(Q30:Q34)</f>
        <v>495.62031028594191</v>
      </c>
      <c r="R35" s="39">
        <f>SUM(R30:R34)</f>
        <v>365.43571714236032</v>
      </c>
      <c r="S35" s="39">
        <f>SUM(S30:S34)</f>
        <v>861.05602742830206</v>
      </c>
      <c r="T35" s="39"/>
      <c r="U35" s="39"/>
      <c r="V35" s="38" t="s">
        <v>74</v>
      </c>
      <c r="W35" s="1" t="s">
        <v>11</v>
      </c>
      <c r="X35" s="39"/>
      <c r="Y35" s="39">
        <f>SUM(Y30:Y34)</f>
        <v>521.46554312904459</v>
      </c>
      <c r="Z35" s="39">
        <f>SUM(Z30:Z34)</f>
        <v>365.87647291947405</v>
      </c>
      <c r="AA35" s="39">
        <f>SUM(AA30:AA34)</f>
        <v>887.34201604851864</v>
      </c>
      <c r="AB35" s="39"/>
      <c r="AC35" s="39"/>
      <c r="AD35" s="38" t="s">
        <v>74</v>
      </c>
      <c r="AE35" s="1" t="s">
        <v>11</v>
      </c>
      <c r="AF35" s="39"/>
      <c r="AG35" s="39">
        <f>SUM(AG30:AG34)</f>
        <v>508.35618293423124</v>
      </c>
      <c r="AH35" s="39">
        <f>SUM(AH30:AH34)</f>
        <v>365.65291036636393</v>
      </c>
      <c r="AI35" s="39">
        <f>SUM(AI30:AI34)</f>
        <v>874.00909330059517</v>
      </c>
    </row>
    <row r="36" spans="1:40">
      <c r="A36" s="38"/>
      <c r="B36" s="1"/>
      <c r="C36" s="39"/>
      <c r="D36" s="39"/>
      <c r="E36" s="39"/>
      <c r="F36" s="38"/>
      <c r="G36" s="1"/>
      <c r="H36" s="39"/>
      <c r="I36" s="39"/>
      <c r="J36" s="39"/>
      <c r="K36" s="39"/>
      <c r="M36" s="39"/>
      <c r="N36" s="38"/>
      <c r="O36" s="1"/>
      <c r="P36" s="39"/>
      <c r="Q36" s="39"/>
      <c r="R36" s="39"/>
      <c r="S36" s="39"/>
      <c r="T36" s="39"/>
      <c r="U36" s="39"/>
      <c r="V36" s="38"/>
      <c r="W36" s="1"/>
      <c r="X36" s="39"/>
      <c r="Y36" s="39"/>
      <c r="Z36" s="39"/>
      <c r="AA36" s="39"/>
      <c r="AB36" s="39"/>
      <c r="AC36" s="39"/>
      <c r="AD36" s="38"/>
      <c r="AE36" s="1"/>
      <c r="AF36" s="39"/>
      <c r="AG36" s="39"/>
      <c r="AH36" s="39"/>
      <c r="AI36" s="39"/>
    </row>
    <row r="37" spans="1:40" s="35" customFormat="1">
      <c r="E37" s="12"/>
      <c r="I37" s="15" t="s">
        <v>24</v>
      </c>
      <c r="J37" s="15"/>
      <c r="K37" s="184"/>
      <c r="M37" s="12"/>
      <c r="N37" s="37"/>
      <c r="O37" s="11"/>
      <c r="P37" s="12"/>
      <c r="Q37" s="12" t="s">
        <v>24</v>
      </c>
      <c r="R37" s="12"/>
      <c r="S37" s="12">
        <f>S35/K35</f>
        <v>0.94913114793744258</v>
      </c>
      <c r="T37" s="12"/>
      <c r="U37" s="12"/>
      <c r="V37" s="37"/>
      <c r="W37" s="11"/>
      <c r="X37" s="12"/>
      <c r="Y37" s="12" t="s">
        <v>24</v>
      </c>
      <c r="Z37" s="12"/>
      <c r="AA37" s="12">
        <f>AA35/K35</f>
        <v>0.97810586010372391</v>
      </c>
      <c r="AB37" s="12"/>
      <c r="AC37" s="12"/>
      <c r="AD37" s="37"/>
      <c r="AE37" s="11"/>
      <c r="AF37" s="12"/>
      <c r="AG37" s="12" t="s">
        <v>24</v>
      </c>
      <c r="AH37" s="12"/>
      <c r="AI37" s="381">
        <f>AI35/K35</f>
        <v>0.96340914831030744</v>
      </c>
    </row>
    <row r="38" spans="1:40">
      <c r="A38" s="38"/>
      <c r="B38" s="1"/>
      <c r="C38" s="39"/>
      <c r="D38" s="39"/>
    </row>
    <row r="39" spans="1:40" s="41" customFormat="1" ht="23.25">
      <c r="A39" s="41" t="s">
        <v>127</v>
      </c>
    </row>
    <row r="40" spans="1:40" ht="23.25">
      <c r="A40" s="203"/>
      <c r="AK40" s="417"/>
      <c r="AL40" s="417"/>
      <c r="AM40" s="417"/>
      <c r="AN40" s="417"/>
    </row>
    <row r="41" spans="1:40" ht="39.75" customHeight="1" thickBot="1">
      <c r="A41" t="s">
        <v>26</v>
      </c>
      <c r="E41" s="3"/>
      <c r="F41" s="3"/>
      <c r="G41" s="3"/>
      <c r="H41" s="47" t="s">
        <v>59</v>
      </c>
      <c r="I41" s="47" t="s">
        <v>60</v>
      </c>
      <c r="J41" s="45" t="s">
        <v>61</v>
      </c>
      <c r="K41" s="47" t="s">
        <v>62</v>
      </c>
      <c r="N41" s="3"/>
      <c r="O41" s="3"/>
      <c r="P41" s="47" t="s">
        <v>59</v>
      </c>
      <c r="Q41" s="47" t="s">
        <v>60</v>
      </c>
      <c r="R41" s="45" t="s">
        <v>61</v>
      </c>
      <c r="S41" s="47" t="s">
        <v>62</v>
      </c>
      <c r="T41" s="47"/>
      <c r="V41" s="3"/>
      <c r="W41" s="3"/>
      <c r="X41" s="47" t="s">
        <v>59</v>
      </c>
      <c r="Y41" s="47" t="s">
        <v>60</v>
      </c>
      <c r="Z41" s="45" t="s">
        <v>61</v>
      </c>
      <c r="AA41" s="47" t="s">
        <v>62</v>
      </c>
      <c r="AB41" s="47"/>
      <c r="AD41" s="3"/>
      <c r="AE41" s="3"/>
      <c r="AF41" s="47" t="s">
        <v>59</v>
      </c>
      <c r="AG41" s="47" t="s">
        <v>60</v>
      </c>
      <c r="AH41" s="45" t="s">
        <v>61</v>
      </c>
      <c r="AI41" s="47" t="s">
        <v>62</v>
      </c>
      <c r="AK41" s="196"/>
      <c r="AL41" s="196"/>
      <c r="AM41" s="196"/>
      <c r="AN41" s="196"/>
    </row>
    <row r="42" spans="1:40">
      <c r="A42" s="5" t="s">
        <v>63</v>
      </c>
      <c r="B42" s="1" t="s">
        <v>8</v>
      </c>
      <c r="C42" s="7">
        <v>2200</v>
      </c>
      <c r="D42" s="14"/>
      <c r="E42" s="14"/>
      <c r="F42" s="5"/>
      <c r="G42" s="1"/>
      <c r="H42" s="14"/>
      <c r="I42" s="14"/>
      <c r="J42" s="14"/>
      <c r="K42" s="14"/>
      <c r="M42" s="3"/>
      <c r="N42" s="5"/>
      <c r="O42" s="1"/>
      <c r="P42" s="14"/>
      <c r="Q42" s="14"/>
      <c r="R42" s="14"/>
      <c r="S42" s="14"/>
      <c r="T42" s="14"/>
      <c r="U42" s="3"/>
      <c r="V42" s="5"/>
      <c r="W42" s="1"/>
      <c r="X42" s="14"/>
      <c r="Y42" s="14"/>
      <c r="Z42" s="14"/>
      <c r="AA42" s="14"/>
      <c r="AB42" s="14"/>
      <c r="AC42" s="3"/>
      <c r="AD42" s="5"/>
      <c r="AE42" s="1"/>
      <c r="AF42" s="14"/>
      <c r="AG42" s="14"/>
      <c r="AH42" s="14"/>
      <c r="AI42" s="14"/>
      <c r="AK42" s="224"/>
      <c r="AL42" s="224"/>
      <c r="AM42" s="224"/>
      <c r="AN42" s="224"/>
    </row>
    <row r="43" spans="1:40" ht="15.75" thickBot="1">
      <c r="A43" s="13" t="s">
        <v>64</v>
      </c>
      <c r="B43" s="1"/>
      <c r="C43" s="7">
        <f>(C42/365)/'Load Factor'!$C$4</f>
        <v>20.047924054829341</v>
      </c>
      <c r="D43" s="14"/>
      <c r="E43" s="46"/>
      <c r="F43" s="13"/>
      <c r="G43" s="1"/>
      <c r="H43" s="46"/>
      <c r="I43" s="46"/>
      <c r="J43" s="46"/>
      <c r="K43" s="46"/>
      <c r="M43" s="14"/>
      <c r="N43" s="13"/>
      <c r="O43" s="1"/>
      <c r="P43" s="46"/>
      <c r="Q43" s="46"/>
      <c r="R43" s="46"/>
      <c r="S43" s="46"/>
      <c r="T43" s="46"/>
      <c r="U43" s="14"/>
      <c r="V43" s="13"/>
      <c r="W43" s="1"/>
      <c r="X43" s="46"/>
      <c r="Y43" s="46"/>
      <c r="Z43" s="46"/>
      <c r="AA43" s="46"/>
      <c r="AB43" s="46"/>
      <c r="AC43" s="14"/>
      <c r="AD43" s="13"/>
      <c r="AE43" s="1"/>
      <c r="AF43" s="46"/>
      <c r="AG43" s="46"/>
      <c r="AH43" s="46"/>
      <c r="AI43" s="46"/>
    </row>
    <row r="44" spans="1:40">
      <c r="A44" s="8" t="s">
        <v>111</v>
      </c>
      <c r="B44" s="204">
        <v>1006.8</v>
      </c>
      <c r="C44" s="36"/>
      <c r="D44" s="36"/>
      <c r="E44" s="9"/>
      <c r="F44" t="s">
        <v>94</v>
      </c>
      <c r="G44" s="1" t="s">
        <v>11</v>
      </c>
      <c r="H44" s="9">
        <f>$H$4</f>
        <v>25.85</v>
      </c>
      <c r="I44" s="9">
        <f>H44*12</f>
        <v>310.20000000000005</v>
      </c>
      <c r="J44" s="9">
        <f>$I$4*12</f>
        <v>0</v>
      </c>
      <c r="K44" s="9">
        <f t="shared" ref="K44:K48" si="1">SUM(I44:J44)</f>
        <v>310.20000000000005</v>
      </c>
      <c r="M44" s="9"/>
      <c r="N44" s="8" t="s">
        <v>124</v>
      </c>
      <c r="O44" s="1" t="s">
        <v>11</v>
      </c>
      <c r="P44" s="9">
        <f>$O$5</f>
        <v>29.097610156886343</v>
      </c>
      <c r="Q44" s="9">
        <f>P44*12</f>
        <v>349.17132188263611</v>
      </c>
      <c r="R44" s="9">
        <f>$P$5*12</f>
        <v>0</v>
      </c>
      <c r="S44" s="9">
        <f>SUM(Q44:R44)</f>
        <v>349.17132188263611</v>
      </c>
      <c r="T44" s="9"/>
      <c r="U44" s="9"/>
      <c r="V44" s="8" t="s">
        <v>124</v>
      </c>
      <c r="W44" s="1" t="s">
        <v>11</v>
      </c>
      <c r="X44" s="9"/>
      <c r="Y44" s="9">
        <f>$W$5*12</f>
        <v>520.27803420035798</v>
      </c>
      <c r="Z44" s="9">
        <f>$X$5*12</f>
        <v>2.9179954545121554</v>
      </c>
      <c r="AA44" s="9">
        <f>SUM(Y44:Z44)</f>
        <v>523.19602965487013</v>
      </c>
      <c r="AB44" s="9"/>
      <c r="AC44" s="9"/>
      <c r="AD44" s="8" t="s">
        <v>124</v>
      </c>
      <c r="AE44" s="1" t="s">
        <v>11</v>
      </c>
      <c r="AF44" s="269">
        <f>$AE$5</f>
        <v>29.097610156886343</v>
      </c>
      <c r="AG44" s="9">
        <f>AF44*12</f>
        <v>349.17132188263611</v>
      </c>
      <c r="AH44" s="9">
        <f>$AF$5*12</f>
        <v>0</v>
      </c>
      <c r="AI44" s="9">
        <f>SUM(AG44:AH44)</f>
        <v>349.17132188263611</v>
      </c>
    </row>
    <row r="45" spans="1:40">
      <c r="A45" s="8" t="s">
        <v>112</v>
      </c>
      <c r="B45" s="204">
        <v>973.40000000000009</v>
      </c>
      <c r="C45" s="9"/>
      <c r="D45" s="9"/>
      <c r="E45" s="9"/>
      <c r="F45" t="s">
        <v>125</v>
      </c>
      <c r="G45" s="1" t="s">
        <v>11</v>
      </c>
      <c r="H45" s="9"/>
      <c r="I45" s="9">
        <f>SUMPRODUCT($H$6:$H$10,B44:B48)</f>
        <v>231.40407779999998</v>
      </c>
      <c r="J45" s="9">
        <f>SUMPRODUCT($I$6:$I$10,B44:B48)</f>
        <v>1.7622</v>
      </c>
      <c r="K45" s="9">
        <f t="shared" si="1"/>
        <v>233.16627779999999</v>
      </c>
      <c r="M45" s="9"/>
      <c r="N45" s="8" t="s">
        <v>42</v>
      </c>
      <c r="O45" s="1" t="s">
        <v>11</v>
      </c>
      <c r="P45" s="9"/>
      <c r="Q45" s="9">
        <f>$O$6*C43*12</f>
        <v>145.26147947461919</v>
      </c>
      <c r="R45" s="9">
        <f>$P$6*C43*12</f>
        <v>2.4772396773983738</v>
      </c>
      <c r="S45" s="9">
        <f>SUM(Q45:R45)</f>
        <v>147.73871915201758</v>
      </c>
      <c r="T45" s="9"/>
      <c r="U45" s="9"/>
      <c r="V45" s="8"/>
      <c r="W45" s="1"/>
      <c r="X45" s="9"/>
      <c r="Y45" s="9"/>
      <c r="Z45" s="9"/>
      <c r="AA45" s="9"/>
      <c r="AB45" s="9"/>
      <c r="AC45" s="9"/>
      <c r="AD45" s="8"/>
      <c r="AE45" s="1"/>
      <c r="AF45" s="9"/>
      <c r="AG45" s="9"/>
      <c r="AH45" s="9"/>
      <c r="AI45" s="9"/>
    </row>
    <row r="46" spans="1:40">
      <c r="A46" s="8" t="s">
        <v>112</v>
      </c>
      <c r="B46" s="204">
        <v>219.8</v>
      </c>
      <c r="C46" s="9"/>
      <c r="D46" s="9"/>
      <c r="E46" s="9"/>
      <c r="F46" t="s">
        <v>53</v>
      </c>
      <c r="G46" s="1" t="s">
        <v>11</v>
      </c>
      <c r="I46" s="270">
        <f>$H$14*C42</f>
        <v>-9.3588000000000005</v>
      </c>
      <c r="J46" s="9">
        <f>$I$14*C42</f>
        <v>81.934600000000003</v>
      </c>
      <c r="K46" s="9">
        <f t="shared" si="1"/>
        <v>72.575800000000001</v>
      </c>
      <c r="M46" s="9"/>
      <c r="N46" s="8" t="s">
        <v>44</v>
      </c>
      <c r="O46" s="1" t="s">
        <v>11</v>
      </c>
      <c r="Q46" s="44">
        <f>$O$7*C42</f>
        <v>0</v>
      </c>
      <c r="R46" s="9">
        <f>$P$7*C42</f>
        <v>8.6206110746322846</v>
      </c>
      <c r="S46" s="9">
        <f>SUM(Q46:R46)</f>
        <v>8.6206110746322846</v>
      </c>
      <c r="T46" s="9"/>
      <c r="U46" s="9"/>
      <c r="V46" s="8" t="s">
        <v>44</v>
      </c>
      <c r="W46" s="1" t="s">
        <v>11</v>
      </c>
      <c r="Y46" s="270">
        <f>$W$7*C42</f>
        <v>0</v>
      </c>
      <c r="Z46" s="9">
        <f>$X$7*C42</f>
        <v>8.6206110746322846</v>
      </c>
      <c r="AA46" s="9">
        <f>SUM(Y46:Z46)</f>
        <v>8.6206110746322846</v>
      </c>
      <c r="AB46" s="9"/>
      <c r="AC46" s="9"/>
      <c r="AD46" s="8" t="s">
        <v>44</v>
      </c>
      <c r="AE46" s="1" t="s">
        <v>11</v>
      </c>
      <c r="AG46" s="270">
        <f>$AE$7*C42</f>
        <v>157.99735212290855</v>
      </c>
      <c r="AH46" s="9">
        <f>$AF$7*C42</f>
        <v>11.315043976034325</v>
      </c>
      <c r="AI46" s="9">
        <f>SUM(AG46:AH46)</f>
        <v>169.31239609894288</v>
      </c>
    </row>
    <row r="47" spans="1:40">
      <c r="A47" s="8" t="s">
        <v>113</v>
      </c>
      <c r="B47" s="204">
        <v>0</v>
      </c>
      <c r="C47" s="9"/>
      <c r="D47" s="9"/>
      <c r="F47" t="s">
        <v>128</v>
      </c>
      <c r="G47" s="1" t="s">
        <v>11</v>
      </c>
      <c r="I47" s="270">
        <f>$H$18*C42</f>
        <v>50.540599999999998</v>
      </c>
      <c r="J47" s="9">
        <f>$I$18*C42</f>
        <v>80.022799999999989</v>
      </c>
      <c r="K47" s="9">
        <f t="shared" si="1"/>
        <v>130.5634</v>
      </c>
      <c r="N47" s="8" t="s">
        <v>14</v>
      </c>
      <c r="O47" s="1" t="s">
        <v>11</v>
      </c>
      <c r="Q47" s="259">
        <f>$O$8*C42</f>
        <v>-1.9029784741519771</v>
      </c>
      <c r="R47" s="259">
        <f>$P$8*C42</f>
        <v>40.587493906709774</v>
      </c>
      <c r="S47" s="259">
        <f>Q47+R47</f>
        <v>38.684515432557795</v>
      </c>
      <c r="T47" s="9"/>
      <c r="V47" s="168" t="s">
        <v>14</v>
      </c>
      <c r="W47" s="260" t="s">
        <v>11</v>
      </c>
      <c r="X47" s="168"/>
      <c r="Y47" s="259">
        <f>$W$8*C42</f>
        <v>-1.9029784741519771</v>
      </c>
      <c r="Z47" s="259">
        <f>$X$8*C42</f>
        <v>40.587493906709774</v>
      </c>
      <c r="AA47" s="259">
        <f>Y47+Z47</f>
        <v>38.684515432557795</v>
      </c>
      <c r="AB47" s="9"/>
      <c r="AD47" s="168" t="s">
        <v>14</v>
      </c>
      <c r="AE47" s="260" t="s">
        <v>11</v>
      </c>
      <c r="AF47" s="168"/>
      <c r="AG47" s="259">
        <f>$AE$8*C42</f>
        <v>-1.9029784741519771</v>
      </c>
      <c r="AH47" s="259">
        <f>$AF$8*C42</f>
        <v>40.587493906709774</v>
      </c>
      <c r="AI47" s="259">
        <f>AG47+AH47</f>
        <v>38.684515432557795</v>
      </c>
    </row>
    <row r="48" spans="1:40">
      <c r="A48" s="8" t="s">
        <v>114</v>
      </c>
      <c r="B48" s="205">
        <v>0</v>
      </c>
      <c r="C48" s="9"/>
      <c r="D48" s="9"/>
      <c r="E48" s="9"/>
      <c r="F48" t="s">
        <v>121</v>
      </c>
      <c r="G48" s="1" t="s">
        <v>11</v>
      </c>
      <c r="H48" s="9"/>
      <c r="I48" s="285">
        <f>$H$21*C42</f>
        <v>4.7102000000000004</v>
      </c>
      <c r="J48" s="285">
        <f>$I$21*C42</f>
        <v>350.2515825443719</v>
      </c>
      <c r="K48" s="9">
        <f t="shared" si="1"/>
        <v>354.96178254437189</v>
      </c>
      <c r="M48" s="9"/>
      <c r="N48" s="8" t="s">
        <v>48</v>
      </c>
      <c r="O48" s="1" t="s">
        <v>11</v>
      </c>
      <c r="P48" s="9"/>
      <c r="Q48" s="9">
        <f>$O$9*C42</f>
        <v>3.0904874028385678</v>
      </c>
      <c r="R48" s="9">
        <f>$P$9*C42</f>
        <v>313.75037248361986</v>
      </c>
      <c r="S48" s="9">
        <f>SUM(Q48:R48)</f>
        <v>316.84085988645842</v>
      </c>
      <c r="T48" s="9"/>
      <c r="U48" s="9"/>
      <c r="V48" s="8" t="s">
        <v>48</v>
      </c>
      <c r="W48" s="1" t="s">
        <v>11</v>
      </c>
      <c r="X48" s="9"/>
      <c r="Y48" s="9">
        <f>$W$9*C42</f>
        <v>3.0904874028385678</v>
      </c>
      <c r="Z48" s="9">
        <f>$X$9*C42</f>
        <v>313.75037248361986</v>
      </c>
      <c r="AA48" s="9">
        <f>SUM(Y48:Z48)</f>
        <v>316.84085988645842</v>
      </c>
      <c r="AB48" s="9"/>
      <c r="AC48" s="9"/>
      <c r="AD48" s="8" t="s">
        <v>48</v>
      </c>
      <c r="AE48" s="1" t="s">
        <v>11</v>
      </c>
      <c r="AF48" s="9"/>
      <c r="AG48" s="9">
        <f>$AE$9*C42</f>
        <v>3.0904874028385678</v>
      </c>
      <c r="AH48" s="9">
        <f>$AF$9*C42</f>
        <v>313.75037248361986</v>
      </c>
      <c r="AI48" s="9">
        <f>SUM(AG48:AH48)</f>
        <v>316.84085988645842</v>
      </c>
    </row>
    <row r="49" spans="1:35">
      <c r="A49" s="38"/>
      <c r="B49" s="1"/>
      <c r="C49" s="39"/>
      <c r="D49" s="39"/>
      <c r="E49" s="39"/>
      <c r="F49" s="38" t="s">
        <v>74</v>
      </c>
      <c r="G49" s="1" t="s">
        <v>11</v>
      </c>
      <c r="H49" s="39"/>
      <c r="I49" s="39">
        <f>SUM(I44:I48)</f>
        <v>587.49607780000008</v>
      </c>
      <c r="J49" s="39">
        <f>SUM(J44:J48)</f>
        <v>513.97118254437191</v>
      </c>
      <c r="K49" s="39">
        <f>SUM(K44:K48)</f>
        <v>1101.4672603443719</v>
      </c>
      <c r="M49" s="39"/>
      <c r="N49" s="38" t="s">
        <v>74</v>
      </c>
      <c r="O49" s="1" t="s">
        <v>11</v>
      </c>
      <c r="P49" s="39"/>
      <c r="Q49" s="39">
        <f>SUM(Q44:Q48)</f>
        <v>495.62031028594191</v>
      </c>
      <c r="R49" s="39">
        <f>SUM(R44:R48)</f>
        <v>365.43571714236032</v>
      </c>
      <c r="S49" s="39">
        <f>SUM(S44:S48)</f>
        <v>861.05602742830206</v>
      </c>
      <c r="T49" s="39"/>
      <c r="U49" s="39"/>
      <c r="V49" s="38" t="s">
        <v>74</v>
      </c>
      <c r="W49" s="1" t="s">
        <v>11</v>
      </c>
      <c r="X49" s="39"/>
      <c r="Y49" s="39">
        <f>SUM(Y44:Y48)</f>
        <v>521.46554312904459</v>
      </c>
      <c r="Z49" s="39">
        <f>SUM(Z44:Z48)</f>
        <v>365.87647291947405</v>
      </c>
      <c r="AA49" s="39">
        <f>SUM(AA44:AA48)</f>
        <v>887.34201604851864</v>
      </c>
      <c r="AB49" s="39"/>
      <c r="AC49" s="39"/>
      <c r="AD49" s="38" t="s">
        <v>74</v>
      </c>
      <c r="AE49" s="1" t="s">
        <v>11</v>
      </c>
      <c r="AF49" s="39"/>
      <c r="AG49" s="39">
        <f>SUM(AG44:AG48)</f>
        <v>508.35618293423124</v>
      </c>
      <c r="AH49" s="39">
        <f>SUM(AH44:AH48)</f>
        <v>365.65291036636393</v>
      </c>
      <c r="AI49" s="39">
        <f>SUM(AI44:AI48)</f>
        <v>874.00909330059517</v>
      </c>
    </row>
    <row r="50" spans="1:35">
      <c r="A50" s="38"/>
      <c r="B50" s="1"/>
      <c r="C50" s="39"/>
      <c r="D50" s="39"/>
      <c r="E50" s="39"/>
      <c r="F50" s="8"/>
      <c r="G50" s="1"/>
      <c r="H50" s="9"/>
      <c r="I50" s="56"/>
      <c r="J50" s="56"/>
      <c r="N50" s="38"/>
      <c r="O50" s="1"/>
      <c r="P50" s="39"/>
      <c r="Q50" s="39"/>
      <c r="R50" s="39"/>
      <c r="S50" s="39"/>
      <c r="V50" s="38"/>
      <c r="W50" s="1"/>
      <c r="X50" s="39"/>
      <c r="Y50" s="39"/>
      <c r="Z50" s="39"/>
      <c r="AA50" s="39"/>
      <c r="AD50" s="38"/>
      <c r="AE50" s="1"/>
      <c r="AF50" s="39"/>
      <c r="AG50" s="39"/>
      <c r="AH50" s="39"/>
      <c r="AI50" s="39"/>
    </row>
    <row r="51" spans="1:35" s="35" customFormat="1">
      <c r="A51" s="37"/>
      <c r="B51" s="11"/>
      <c r="C51" s="12"/>
      <c r="D51" s="12"/>
      <c r="E51" s="12"/>
      <c r="F51" s="37"/>
      <c r="G51" s="11"/>
      <c r="H51" s="12"/>
      <c r="I51" s="12" t="s">
        <v>24</v>
      </c>
      <c r="J51" s="12"/>
      <c r="K51" s="12"/>
      <c r="M51" s="12"/>
      <c r="N51" s="37"/>
      <c r="O51" s="11"/>
      <c r="P51" s="12"/>
      <c r="Q51" s="12" t="s">
        <v>24</v>
      </c>
      <c r="R51" s="12"/>
      <c r="S51" s="12">
        <f>S49/K49</f>
        <v>0.78173547088371409</v>
      </c>
      <c r="T51" s="12"/>
      <c r="U51" s="12"/>
      <c r="V51" s="37"/>
      <c r="W51" s="11"/>
      <c r="X51" s="12"/>
      <c r="Y51" s="12" t="s">
        <v>24</v>
      </c>
      <c r="Z51" s="12"/>
      <c r="AA51" s="12">
        <f>AA49/K49</f>
        <v>0.80559999193357112</v>
      </c>
      <c r="AB51" s="12"/>
      <c r="AC51" s="12"/>
      <c r="AD51" s="37"/>
      <c r="AE51" s="11"/>
      <c r="AF51" s="12"/>
      <c r="AG51" s="12" t="s">
        <v>24</v>
      </c>
      <c r="AH51" s="12"/>
      <c r="AI51" s="12">
        <f>AI49/K49</f>
        <v>0.79349529919512785</v>
      </c>
    </row>
  </sheetData>
  <mergeCells count="17">
    <mergeCell ref="E26:K26"/>
    <mergeCell ref="M26:S26"/>
    <mergeCell ref="A1:I1"/>
    <mergeCell ref="F2:J2"/>
    <mergeCell ref="N2:Q2"/>
    <mergeCell ref="N3:Q3"/>
    <mergeCell ref="N12:Q12"/>
    <mergeCell ref="AK26:AN26"/>
    <mergeCell ref="AK40:AN40"/>
    <mergeCell ref="V2:Y2"/>
    <mergeCell ref="V3:Y3"/>
    <mergeCell ref="V12:Y12"/>
    <mergeCell ref="U26:AA26"/>
    <mergeCell ref="AD2:AG2"/>
    <mergeCell ref="AD3:AG3"/>
    <mergeCell ref="AD12:AG12"/>
    <mergeCell ref="AC26:AI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694C-312F-4B88-A1D1-173E302D4E8B}">
  <sheetPr codeName="Sheet11">
    <tabColor theme="9" tint="0.39997558519241921"/>
  </sheetPr>
  <dimension ref="A1:AN52"/>
  <sheetViews>
    <sheetView zoomScale="70" zoomScaleNormal="70" workbookViewId="0">
      <pane xSplit="3" ySplit="26" topLeftCell="D27" activePane="bottomRight" state="frozen"/>
      <selection pane="topRight" activeCell="D1" sqref="D1"/>
      <selection pane="bottomLeft" activeCell="A27" sqref="A27"/>
      <selection pane="bottomRight" activeCell="D27" sqref="D27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3.1406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2.140625" customWidth="1"/>
    <col min="38" max="38" width="15.85546875" customWidth="1"/>
    <col min="39" max="39" width="12.85546875" customWidth="1"/>
    <col min="40" max="40" width="17" customWidth="1"/>
  </cols>
  <sheetData>
    <row r="1" spans="1:35" s="197" customFormat="1" ht="21">
      <c r="A1" s="443" t="s">
        <v>129</v>
      </c>
      <c r="B1" s="419"/>
      <c r="C1" s="419"/>
      <c r="D1" s="419"/>
      <c r="E1" s="419"/>
      <c r="F1" s="419"/>
      <c r="G1" s="419"/>
      <c r="H1" s="419"/>
      <c r="I1" s="419"/>
    </row>
    <row r="2" spans="1:35" ht="13.5" customHeight="1">
      <c r="A2" s="58"/>
      <c r="B2" s="59"/>
      <c r="C2" s="59"/>
      <c r="D2" s="59"/>
      <c r="E2" s="59"/>
      <c r="F2" s="422" t="s">
        <v>33</v>
      </c>
      <c r="G2" s="423"/>
      <c r="H2" s="423"/>
      <c r="I2" s="423"/>
      <c r="J2" s="424"/>
      <c r="N2" s="433" t="s">
        <v>34</v>
      </c>
      <c r="O2" s="434"/>
      <c r="P2" s="434"/>
      <c r="Q2" s="435"/>
      <c r="V2" s="433" t="s">
        <v>35</v>
      </c>
      <c r="W2" s="434"/>
      <c r="X2" s="434"/>
      <c r="Y2" s="435"/>
      <c r="AD2" s="433" t="s">
        <v>36</v>
      </c>
      <c r="AE2" s="434"/>
      <c r="AF2" s="434"/>
      <c r="AG2" s="435"/>
    </row>
    <row r="3" spans="1:35" ht="13.5" customHeight="1">
      <c r="A3" s="58"/>
      <c r="B3" s="59"/>
      <c r="C3" s="59"/>
      <c r="D3" s="59"/>
      <c r="E3" s="59"/>
      <c r="F3" s="198"/>
      <c r="G3" s="199"/>
      <c r="H3" s="200" t="s">
        <v>12</v>
      </c>
      <c r="I3" s="200" t="s">
        <v>37</v>
      </c>
      <c r="J3" s="201" t="s">
        <v>16</v>
      </c>
      <c r="N3" s="437" t="s">
        <v>38</v>
      </c>
      <c r="O3" s="438"/>
      <c r="P3" s="438"/>
      <c r="Q3" s="439"/>
      <c r="V3" s="437" t="s">
        <v>38</v>
      </c>
      <c r="W3" s="438"/>
      <c r="X3" s="438"/>
      <c r="Y3" s="439"/>
      <c r="AD3" s="437" t="s">
        <v>38</v>
      </c>
      <c r="AE3" s="438"/>
      <c r="AF3" s="438"/>
      <c r="AG3" s="439"/>
    </row>
    <row r="4" spans="1:35" ht="13.5" customHeight="1">
      <c r="A4" s="58"/>
      <c r="B4" s="59"/>
      <c r="C4" s="59"/>
      <c r="D4" s="59"/>
      <c r="E4" s="59"/>
      <c r="F4" s="188" t="s">
        <v>39</v>
      </c>
      <c r="G4" s="43"/>
      <c r="H4" s="302">
        <v>78.650000000000006</v>
      </c>
      <c r="I4" s="302">
        <v>0</v>
      </c>
      <c r="J4" s="323">
        <v>78.650000000000006</v>
      </c>
      <c r="N4" s="198"/>
      <c r="O4" s="300" t="s">
        <v>12</v>
      </c>
      <c r="P4" s="300" t="s">
        <v>37</v>
      </c>
      <c r="Q4" s="301" t="s">
        <v>16</v>
      </c>
      <c r="V4" s="191"/>
      <c r="W4" s="169" t="s">
        <v>12</v>
      </c>
      <c r="X4" s="169" t="s">
        <v>37</v>
      </c>
      <c r="Y4" s="301" t="s">
        <v>16</v>
      </c>
      <c r="AD4" s="191"/>
      <c r="AE4" s="169" t="s">
        <v>12</v>
      </c>
      <c r="AF4" s="169" t="s">
        <v>37</v>
      </c>
      <c r="AG4" s="301" t="s">
        <v>16</v>
      </c>
    </row>
    <row r="5" spans="1:35" ht="13.5" customHeight="1">
      <c r="A5" s="58"/>
      <c r="B5" s="59"/>
      <c r="C5" s="59"/>
      <c r="D5" s="59"/>
      <c r="E5" s="59"/>
      <c r="F5" s="188" t="s">
        <v>110</v>
      </c>
      <c r="G5" s="43"/>
      <c r="H5" s="43"/>
      <c r="I5" s="43"/>
      <c r="J5" s="306"/>
      <c r="N5" s="188" t="s">
        <v>39</v>
      </c>
      <c r="O5" s="302">
        <v>29.097610156886343</v>
      </c>
      <c r="P5" s="302">
        <v>0</v>
      </c>
      <c r="Q5" s="304">
        <v>29.097610156886343</v>
      </c>
      <c r="V5" s="186" t="s">
        <v>39</v>
      </c>
      <c r="W5" s="302">
        <v>43.356502850029834</v>
      </c>
      <c r="X5" s="302">
        <v>0.24316628787601294</v>
      </c>
      <c r="Y5" s="304">
        <v>43.599669137905842</v>
      </c>
      <c r="AD5" s="188" t="s">
        <v>39</v>
      </c>
      <c r="AE5" s="302">
        <v>29.097610156886343</v>
      </c>
      <c r="AF5" s="302">
        <v>0</v>
      </c>
      <c r="AG5" s="323">
        <v>29.097610156886343</v>
      </c>
    </row>
    <row r="6" spans="1:35" ht="13.5" customHeight="1">
      <c r="A6" s="58"/>
      <c r="B6" s="59"/>
      <c r="C6" s="59"/>
      <c r="D6" s="59"/>
      <c r="E6" s="59"/>
      <c r="F6" s="190" t="s">
        <v>130</v>
      </c>
      <c r="G6" s="43"/>
      <c r="H6" s="303">
        <v>9.5939999999999998E-2</v>
      </c>
      <c r="I6" s="303">
        <v>2.9700000000000001E-4</v>
      </c>
      <c r="J6" s="305">
        <v>9.6236999999999989E-2</v>
      </c>
      <c r="N6" s="188" t="s">
        <v>42</v>
      </c>
      <c r="O6" s="303">
        <v>0.60380931494179313</v>
      </c>
      <c r="P6" s="303">
        <v>1.0297157911143889E-2</v>
      </c>
      <c r="Q6" s="305">
        <v>0.61410647285293707</v>
      </c>
      <c r="R6" s="44"/>
      <c r="S6" s="44"/>
      <c r="T6" s="44"/>
      <c r="V6" s="188" t="s">
        <v>42</v>
      </c>
      <c r="W6" s="303">
        <v>0</v>
      </c>
      <c r="X6" s="303">
        <v>0</v>
      </c>
      <c r="Y6" s="305">
        <v>0</v>
      </c>
      <c r="Z6" s="44"/>
      <c r="AA6" s="44"/>
      <c r="AB6" s="44"/>
      <c r="AD6" s="188" t="s">
        <v>42</v>
      </c>
      <c r="AE6" s="303">
        <v>0</v>
      </c>
      <c r="AF6" s="303">
        <v>0</v>
      </c>
      <c r="AG6" s="305">
        <v>0</v>
      </c>
      <c r="AH6" s="44"/>
      <c r="AI6" s="44"/>
    </row>
    <row r="7" spans="1:35" ht="13.5" customHeight="1">
      <c r="A7" s="58"/>
      <c r="B7" s="59"/>
      <c r="C7" s="59"/>
      <c r="D7" s="59"/>
      <c r="E7" s="59"/>
      <c r="F7" s="190" t="s">
        <v>131</v>
      </c>
      <c r="G7" s="43"/>
      <c r="H7" s="303">
        <v>7.798200000000001E-2</v>
      </c>
      <c r="I7" s="303">
        <v>2.9700000000000001E-4</v>
      </c>
      <c r="J7" s="305">
        <v>7.8279000000000001E-2</v>
      </c>
      <c r="N7" s="188" t="s">
        <v>44</v>
      </c>
      <c r="O7" s="303">
        <v>0</v>
      </c>
      <c r="P7" s="303">
        <v>3.918459579378311E-3</v>
      </c>
      <c r="Q7" s="305">
        <v>3.918459579378311E-3</v>
      </c>
      <c r="V7" s="188" t="s">
        <v>44</v>
      </c>
      <c r="W7" s="303">
        <v>0</v>
      </c>
      <c r="X7" s="303">
        <v>3.918459579378311E-3</v>
      </c>
      <c r="Y7" s="305">
        <v>3.918459579378311E-3</v>
      </c>
      <c r="AD7" s="188" t="s">
        <v>44</v>
      </c>
      <c r="AE7" s="303">
        <v>7.1816978237685708E-2</v>
      </c>
      <c r="AF7" s="303">
        <v>5.1432018072883291E-3</v>
      </c>
      <c r="AG7" s="305">
        <v>7.6960180044974028E-2</v>
      </c>
    </row>
    <row r="8" spans="1:35" ht="13.5" customHeight="1">
      <c r="A8" s="58"/>
      <c r="B8" s="59"/>
      <c r="C8" s="59"/>
      <c r="D8" s="59"/>
      <c r="E8" s="59"/>
      <c r="F8" s="190" t="s">
        <v>132</v>
      </c>
      <c r="G8" s="43"/>
      <c r="H8" s="303">
        <v>6.7555000000000004E-2</v>
      </c>
      <c r="I8" s="303">
        <v>2.9700000000000001E-4</v>
      </c>
      <c r="J8" s="305">
        <v>6.785200000000001E-2</v>
      </c>
      <c r="N8" s="188" t="s">
        <v>46</v>
      </c>
      <c r="O8" s="303">
        <v>-8.6499021552362591E-4</v>
      </c>
      <c r="P8" s="303">
        <v>1.8448860866686262E-2</v>
      </c>
      <c r="Q8" s="305">
        <v>1.7583870651162636E-2</v>
      </c>
      <c r="V8" s="188" t="s">
        <v>46</v>
      </c>
      <c r="W8" s="303">
        <v>-8.6499021552362591E-4</v>
      </c>
      <c r="X8" s="303">
        <v>1.8448860866686262E-2</v>
      </c>
      <c r="Y8" s="305">
        <v>1.7583870651162636E-2</v>
      </c>
      <c r="AD8" s="188" t="s">
        <v>46</v>
      </c>
      <c r="AE8" s="303">
        <v>-8.6499021552362591E-4</v>
      </c>
      <c r="AF8" s="303">
        <v>1.8448860866686262E-2</v>
      </c>
      <c r="AG8" s="305">
        <v>1.7583870651162636E-2</v>
      </c>
      <c r="AH8" s="188"/>
    </row>
    <row r="9" spans="1:35" ht="13.5" customHeight="1">
      <c r="A9" s="58"/>
      <c r="B9" s="59"/>
      <c r="C9" s="59"/>
      <c r="D9" s="59"/>
      <c r="E9" s="59"/>
      <c r="F9" s="190" t="s">
        <v>133</v>
      </c>
      <c r="G9" s="43"/>
      <c r="H9" s="303">
        <v>6.1023000000000008E-2</v>
      </c>
      <c r="I9" s="303">
        <v>2.9700000000000001E-4</v>
      </c>
      <c r="J9" s="305">
        <v>6.1320000000000006E-2</v>
      </c>
      <c r="N9" s="188" t="s">
        <v>48</v>
      </c>
      <c r="O9" s="303">
        <v>1.4047670012902582E-3</v>
      </c>
      <c r="P9" s="303">
        <v>0.14261380567437265</v>
      </c>
      <c r="Q9" s="305">
        <v>0.1440185726756629</v>
      </c>
      <c r="V9" s="188" t="s">
        <v>48</v>
      </c>
      <c r="W9" s="303">
        <v>1.4047670012902582E-3</v>
      </c>
      <c r="X9" s="303">
        <v>0.14261380567437265</v>
      </c>
      <c r="Y9" s="305">
        <v>0.1440185726756629</v>
      </c>
      <c r="AD9" s="188" t="s">
        <v>48</v>
      </c>
      <c r="AE9" s="303">
        <v>1.4047670012902582E-3</v>
      </c>
      <c r="AF9" s="303">
        <v>0.14261380567437265</v>
      </c>
      <c r="AG9" s="305">
        <v>0.1440185726756629</v>
      </c>
    </row>
    <row r="10" spans="1:35" ht="13.5" customHeight="1">
      <c r="A10" s="58"/>
      <c r="B10" s="59"/>
      <c r="C10" s="59"/>
      <c r="D10" s="59"/>
      <c r="E10" s="59"/>
      <c r="F10" s="190" t="s">
        <v>134</v>
      </c>
      <c r="G10" s="43"/>
      <c r="H10" s="303">
        <v>3.6273E-2</v>
      </c>
      <c r="I10" s="303">
        <v>2.9700000000000001E-4</v>
      </c>
      <c r="J10" s="305">
        <v>3.6569999999999998E-2</v>
      </c>
      <c r="M10" s="189"/>
      <c r="N10" s="191" t="s">
        <v>49</v>
      </c>
      <c r="O10" s="318"/>
      <c r="P10" s="318"/>
      <c r="Q10" s="307"/>
      <c r="U10" s="189"/>
      <c r="V10" s="191" t="s">
        <v>49</v>
      </c>
      <c r="W10" s="318"/>
      <c r="X10" s="318"/>
      <c r="Y10" s="307"/>
      <c r="Z10" s="188"/>
      <c r="AD10" s="191" t="s">
        <v>49</v>
      </c>
      <c r="AE10" s="318"/>
      <c r="AF10" s="303"/>
      <c r="AG10" s="307"/>
    </row>
    <row r="11" spans="1:35" ht="15.75" customHeight="1">
      <c r="A11" s="58"/>
      <c r="B11" s="59"/>
      <c r="C11" s="59"/>
      <c r="D11" s="59"/>
      <c r="E11" s="59"/>
      <c r="F11" s="188" t="s">
        <v>115</v>
      </c>
      <c r="G11" s="43"/>
      <c r="H11" s="303"/>
      <c r="I11" s="303"/>
      <c r="J11" s="305"/>
      <c r="AF11" s="199"/>
      <c r="AG11" s="199"/>
    </row>
    <row r="12" spans="1:35" ht="13.5" customHeight="1">
      <c r="A12" s="58"/>
      <c r="B12" s="59"/>
      <c r="C12" s="59"/>
      <c r="D12" s="59"/>
      <c r="E12" s="59"/>
      <c r="F12" s="188"/>
      <c r="G12" s="43"/>
      <c r="H12" s="303"/>
      <c r="I12" s="303"/>
      <c r="J12" s="305"/>
      <c r="N12" s="437" t="s">
        <v>52</v>
      </c>
      <c r="O12" s="438"/>
      <c r="P12" s="438"/>
      <c r="Q12" s="439"/>
      <c r="V12" s="437" t="s">
        <v>52</v>
      </c>
      <c r="W12" s="438"/>
      <c r="X12" s="438"/>
      <c r="Y12" s="439"/>
      <c r="AD12" s="437" t="s">
        <v>52</v>
      </c>
      <c r="AE12" s="438"/>
      <c r="AF12" s="438"/>
      <c r="AG12" s="439"/>
    </row>
    <row r="13" spans="1:35" ht="13.5" customHeight="1">
      <c r="A13" s="58"/>
      <c r="B13" s="59"/>
      <c r="C13" s="59"/>
      <c r="D13" s="59"/>
      <c r="E13" s="59"/>
      <c r="F13" s="188"/>
      <c r="G13" s="43"/>
      <c r="H13" s="303"/>
      <c r="I13" s="303"/>
      <c r="J13" s="305"/>
      <c r="N13" s="191"/>
      <c r="O13" s="169" t="s">
        <v>12</v>
      </c>
      <c r="P13" s="169" t="s">
        <v>37</v>
      </c>
      <c r="Q13" s="301" t="s">
        <v>16</v>
      </c>
      <c r="R13" s="44"/>
      <c r="S13" s="44"/>
      <c r="T13" s="44"/>
      <c r="V13" s="188"/>
      <c r="W13" s="300" t="s">
        <v>12</v>
      </c>
      <c r="X13" s="300" t="s">
        <v>37</v>
      </c>
      <c r="Y13" s="301" t="s">
        <v>16</v>
      </c>
      <c r="Z13" s="44"/>
      <c r="AA13" s="44"/>
      <c r="AB13" s="44"/>
      <c r="AD13" s="191"/>
      <c r="AE13" s="169" t="s">
        <v>12</v>
      </c>
      <c r="AF13" s="169" t="s">
        <v>37</v>
      </c>
      <c r="AG13" s="192" t="s">
        <v>16</v>
      </c>
      <c r="AH13" s="44"/>
      <c r="AI13" s="44"/>
    </row>
    <row r="14" spans="1:35" ht="13.5" customHeight="1">
      <c r="A14" s="58"/>
      <c r="B14" s="59"/>
      <c r="C14" s="59"/>
      <c r="D14" s="59"/>
      <c r="E14" s="59"/>
      <c r="F14" s="188" t="s">
        <v>116</v>
      </c>
      <c r="G14" s="43"/>
      <c r="H14" s="303">
        <v>-4.065E-3</v>
      </c>
      <c r="I14" s="303">
        <v>3.2865000000000005E-2</v>
      </c>
      <c r="J14" s="305">
        <v>2.8800000000000003E-2</v>
      </c>
      <c r="N14" s="188" t="s">
        <v>39</v>
      </c>
      <c r="O14" s="302">
        <v>29.097610156886343</v>
      </c>
      <c r="P14" s="302">
        <v>0</v>
      </c>
      <c r="Q14" s="302">
        <v>29.097610156886343</v>
      </c>
      <c r="U14" s="189"/>
      <c r="V14" s="187" t="s">
        <v>39</v>
      </c>
      <c r="W14" s="302">
        <v>501.89065855250084</v>
      </c>
      <c r="X14" s="302">
        <v>7.7349531222224197</v>
      </c>
      <c r="Y14" s="304">
        <v>509.6256116747233</v>
      </c>
      <c r="AD14" s="186" t="s">
        <v>39</v>
      </c>
      <c r="AE14" s="302">
        <v>29.1</v>
      </c>
      <c r="AF14" s="302">
        <v>0</v>
      </c>
      <c r="AG14" s="304">
        <v>29.1</v>
      </c>
      <c r="AH14" s="188"/>
    </row>
    <row r="15" spans="1:35" ht="13.5" customHeight="1">
      <c r="A15" s="58"/>
      <c r="B15" s="59"/>
      <c r="C15" s="59"/>
      <c r="D15" s="59"/>
      <c r="E15" s="59"/>
      <c r="F15" s="188" t="s">
        <v>117</v>
      </c>
      <c r="G15" s="43"/>
      <c r="H15" s="303">
        <v>-1.5110000000000002E-3</v>
      </c>
      <c r="I15" s="303">
        <v>1.9244999999999998E-2</v>
      </c>
      <c r="J15" s="305">
        <v>1.7733999999999996E-2</v>
      </c>
      <c r="N15" s="188" t="s">
        <v>42</v>
      </c>
      <c r="O15" s="303">
        <v>0.6249848683706285</v>
      </c>
      <c r="P15" s="303">
        <v>1.0224830240947344E-2</v>
      </c>
      <c r="Q15" s="305">
        <v>0.63520969861157583</v>
      </c>
      <c r="U15" s="189"/>
      <c r="V15" t="s">
        <v>42</v>
      </c>
      <c r="W15" s="303">
        <v>0</v>
      </c>
      <c r="X15" s="303">
        <v>0</v>
      </c>
      <c r="Y15" s="305">
        <v>0</v>
      </c>
      <c r="AD15" s="188" t="s">
        <v>42</v>
      </c>
      <c r="AE15" s="303">
        <v>0</v>
      </c>
      <c r="AF15" s="303">
        <v>0</v>
      </c>
      <c r="AG15" s="305">
        <v>0</v>
      </c>
    </row>
    <row r="16" spans="1:35" ht="13.5" customHeight="1">
      <c r="A16" s="58"/>
      <c r="B16" s="59"/>
      <c r="C16" s="59"/>
      <c r="D16" s="59"/>
      <c r="E16" s="59"/>
      <c r="F16" s="188" t="s">
        <v>115</v>
      </c>
      <c r="G16" s="43"/>
      <c r="H16" s="303"/>
      <c r="I16" s="303"/>
      <c r="J16" s="305"/>
      <c r="N16" s="188" t="s">
        <v>44</v>
      </c>
      <c r="O16" s="303">
        <v>0</v>
      </c>
      <c r="P16" s="303">
        <v>3.8691587178757546E-3</v>
      </c>
      <c r="Q16" s="305">
        <v>3.8691587178757546E-3</v>
      </c>
      <c r="U16" s="189"/>
      <c r="V16" t="s">
        <v>44</v>
      </c>
      <c r="W16" s="303">
        <v>0</v>
      </c>
      <c r="X16" s="303">
        <v>3.8691587178757546E-3</v>
      </c>
      <c r="Y16" s="305">
        <v>3.8691587178757546E-3</v>
      </c>
      <c r="AD16" s="188" t="s">
        <v>44</v>
      </c>
      <c r="AE16" s="303">
        <v>7.3483235816392656E-2</v>
      </c>
      <c r="AF16" s="303">
        <v>5.0713536025886255E-3</v>
      </c>
      <c r="AG16" s="305">
        <v>7.8554589418981288E-2</v>
      </c>
    </row>
    <row r="17" spans="1:40" ht="13.5" customHeight="1">
      <c r="A17" s="58"/>
      <c r="B17" s="59"/>
      <c r="C17" s="59"/>
      <c r="D17" s="59"/>
      <c r="E17" s="59"/>
      <c r="F17" s="188" t="s">
        <v>126</v>
      </c>
      <c r="G17" s="43"/>
      <c r="H17" s="303">
        <v>1.4759E-2</v>
      </c>
      <c r="I17" s="303">
        <v>2.9659999999999969E-3</v>
      </c>
      <c r="J17" s="305">
        <v>1.7724999999999998E-2</v>
      </c>
      <c r="N17" s="188" t="s">
        <v>46</v>
      </c>
      <c r="O17" s="303">
        <v>-8.2032059994183301E-4</v>
      </c>
      <c r="P17" s="303">
        <v>1.6631227319793405E-2</v>
      </c>
      <c r="Q17" s="305">
        <v>1.5810906719851574E-2</v>
      </c>
      <c r="U17" s="189"/>
      <c r="V17" t="s">
        <v>46</v>
      </c>
      <c r="W17" s="303">
        <v>-8.2032059994183301E-4</v>
      </c>
      <c r="X17" s="303">
        <v>1.6631227319793405E-2</v>
      </c>
      <c r="Y17" s="305">
        <v>1.5810906719851574E-2</v>
      </c>
      <c r="AD17" s="188" t="s">
        <v>46</v>
      </c>
      <c r="AE17" s="303">
        <v>-8.2032059994183301E-4</v>
      </c>
      <c r="AF17" s="303">
        <v>1.6631227319793405E-2</v>
      </c>
      <c r="AG17" s="305">
        <v>1.5810906719851574E-2</v>
      </c>
    </row>
    <row r="18" spans="1:40" ht="13.5" customHeight="1">
      <c r="A18" s="58"/>
      <c r="B18" s="59"/>
      <c r="C18" s="59"/>
      <c r="D18" s="59"/>
      <c r="E18" s="59"/>
      <c r="F18" s="188" t="s">
        <v>128</v>
      </c>
      <c r="G18" s="43"/>
      <c r="H18" s="303">
        <v>1.7165E-2</v>
      </c>
      <c r="I18" s="303">
        <v>2.720100000000001E-2</v>
      </c>
      <c r="J18" s="305">
        <v>4.4366000000000003E-2</v>
      </c>
      <c r="N18" s="188" t="s">
        <v>48</v>
      </c>
      <c r="O18" s="303">
        <v>1.4047670012902586E-3</v>
      </c>
      <c r="P18" s="303">
        <v>0.14261380567437262</v>
      </c>
      <c r="Q18" s="305">
        <v>0.1440185726756629</v>
      </c>
      <c r="U18" s="189"/>
      <c r="V18" t="s">
        <v>48</v>
      </c>
      <c r="W18" s="303">
        <v>1.4047670012902586E-3</v>
      </c>
      <c r="X18" s="303">
        <v>0.14261380567437262</v>
      </c>
      <c r="Y18" s="305">
        <v>0.1440185726756629</v>
      </c>
      <c r="AD18" s="188" t="s">
        <v>48</v>
      </c>
      <c r="AE18" s="303">
        <v>1.4047670012902586E-3</v>
      </c>
      <c r="AF18" s="303">
        <v>0.14261380567437262</v>
      </c>
      <c r="AG18" s="305">
        <v>0.1440185726756629</v>
      </c>
    </row>
    <row r="19" spans="1:40" ht="15.6" customHeight="1">
      <c r="A19" s="58"/>
      <c r="B19" s="59"/>
      <c r="C19" s="59"/>
      <c r="D19" s="59"/>
      <c r="E19" s="59"/>
      <c r="F19" s="188" t="s">
        <v>115</v>
      </c>
      <c r="G19" s="43"/>
      <c r="H19" s="303"/>
      <c r="I19" s="303"/>
      <c r="J19" s="305"/>
      <c r="N19" s="191" t="s">
        <v>49</v>
      </c>
      <c r="O19" s="318"/>
      <c r="P19" s="303"/>
      <c r="Q19" s="307"/>
      <c r="U19" s="189"/>
      <c r="V19" s="35" t="s">
        <v>49</v>
      </c>
      <c r="W19" s="318"/>
      <c r="X19" s="318"/>
      <c r="Y19" s="307"/>
      <c r="AD19" s="191" t="s">
        <v>49</v>
      </c>
      <c r="AE19" s="318"/>
      <c r="AF19" s="318"/>
      <c r="AG19" s="307"/>
    </row>
    <row r="20" spans="1:40" ht="13.5" customHeight="1">
      <c r="A20" s="58"/>
      <c r="B20" s="59"/>
      <c r="C20" s="59"/>
      <c r="D20" s="59"/>
      <c r="E20" s="59"/>
      <c r="F20" s="188" t="s">
        <v>120</v>
      </c>
      <c r="G20" s="43"/>
      <c r="H20" s="303">
        <v>2.1410000000000001E-3</v>
      </c>
      <c r="I20" s="303">
        <v>0.10780999999999999</v>
      </c>
      <c r="J20" s="305">
        <v>0.10995099999999999</v>
      </c>
      <c r="N20" s="187"/>
      <c r="P20" s="187"/>
      <c r="Q20" s="187"/>
      <c r="AD20" s="187"/>
    </row>
    <row r="21" spans="1:40" ht="13.5" customHeight="1">
      <c r="A21" s="58"/>
      <c r="B21" s="59"/>
      <c r="C21" s="59"/>
      <c r="D21" s="59"/>
      <c r="E21" s="59"/>
      <c r="F21" s="188" t="s">
        <v>121</v>
      </c>
      <c r="G21" s="43"/>
      <c r="H21" s="303">
        <v>2.1410000000000001E-3</v>
      </c>
      <c r="I21" s="303">
        <v>0.15920526479289632</v>
      </c>
      <c r="J21" s="305">
        <v>0.16134626479289629</v>
      </c>
    </row>
    <row r="22" spans="1:40" ht="13.5" customHeight="1">
      <c r="A22" s="58"/>
      <c r="B22" s="59"/>
      <c r="C22" s="59"/>
      <c r="D22" s="59"/>
      <c r="E22" s="59"/>
      <c r="F22" s="188" t="s">
        <v>115</v>
      </c>
      <c r="G22" s="43"/>
      <c r="H22" s="303"/>
      <c r="I22" s="303"/>
      <c r="J22" s="305"/>
    </row>
    <row r="23" spans="1:40" ht="13.5" customHeight="1">
      <c r="A23" s="58"/>
      <c r="B23" s="59"/>
      <c r="C23" s="59"/>
      <c r="D23" s="59"/>
      <c r="E23" s="59"/>
      <c r="F23" s="188" t="s">
        <v>49</v>
      </c>
      <c r="G23" s="43"/>
      <c r="H23" s="303"/>
      <c r="I23" s="318"/>
      <c r="J23" s="307"/>
    </row>
    <row r="24" spans="1:40" ht="21">
      <c r="A24" s="58"/>
      <c r="B24" s="59"/>
      <c r="C24" s="59"/>
      <c r="D24" s="59"/>
      <c r="E24" s="59"/>
      <c r="F24" s="288"/>
      <c r="G24" s="288"/>
      <c r="H24" s="288"/>
      <c r="I24" s="59"/>
    </row>
    <row r="25" spans="1:40" s="40" customFormat="1" ht="23.25">
      <c r="A25" s="41" t="s">
        <v>122</v>
      </c>
    </row>
    <row r="26" spans="1:40" ht="24" thickBot="1">
      <c r="A26" s="203"/>
      <c r="E26" s="428" t="s">
        <v>89</v>
      </c>
      <c r="F26" s="428"/>
      <c r="G26" s="428"/>
      <c r="H26" s="428"/>
      <c r="I26" s="428"/>
      <c r="J26" s="428"/>
      <c r="K26" s="428"/>
      <c r="M26" s="428" t="s">
        <v>88</v>
      </c>
      <c r="N26" s="428"/>
      <c r="O26" s="428"/>
      <c r="P26" s="428"/>
      <c r="Q26" s="428"/>
      <c r="R26" s="428"/>
      <c r="S26" s="428"/>
      <c r="T26" s="263"/>
      <c r="U26" s="428" t="s">
        <v>35</v>
      </c>
      <c r="V26" s="428"/>
      <c r="W26" s="428"/>
      <c r="X26" s="428"/>
      <c r="Y26" s="428"/>
      <c r="Z26" s="428"/>
      <c r="AA26" s="428"/>
      <c r="AB26" s="263"/>
      <c r="AC26" s="428" t="s">
        <v>36</v>
      </c>
      <c r="AD26" s="428"/>
      <c r="AE26" s="428"/>
      <c r="AF26" s="428"/>
      <c r="AG26" s="428"/>
      <c r="AH26" s="428"/>
      <c r="AI26" s="428"/>
      <c r="AK26" s="417"/>
      <c r="AL26" s="417"/>
      <c r="AM26" s="417"/>
      <c r="AN26" s="417"/>
    </row>
    <row r="27" spans="1:40" ht="15.75" thickTop="1">
      <c r="E27" s="39"/>
      <c r="M27" s="39"/>
      <c r="N27" s="38"/>
      <c r="O27" s="1"/>
      <c r="P27" s="39"/>
      <c r="Q27" s="9"/>
      <c r="R27" s="39"/>
      <c r="S27" s="39"/>
      <c r="T27" s="39"/>
      <c r="U27" s="39"/>
      <c r="V27" s="38"/>
      <c r="W27" s="1"/>
      <c r="X27" s="39"/>
      <c r="Y27" s="9"/>
      <c r="Z27" s="39"/>
      <c r="AA27" s="39"/>
      <c r="AB27" s="39"/>
      <c r="AC27" s="39"/>
      <c r="AD27" s="38"/>
      <c r="AE27" s="1"/>
      <c r="AF27" s="39"/>
      <c r="AG27" s="9"/>
      <c r="AH27" s="39"/>
      <c r="AI27" s="39"/>
      <c r="AK27" s="417"/>
      <c r="AL27" s="417"/>
      <c r="AM27" s="417"/>
      <c r="AN27" s="417"/>
    </row>
    <row r="28" spans="1:40" ht="39.75" customHeight="1" thickBot="1">
      <c r="A28" t="s">
        <v>106</v>
      </c>
      <c r="D28" s="14"/>
      <c r="E28" s="3"/>
      <c r="F28" s="3"/>
      <c r="G28" s="3"/>
      <c r="H28" s="47" t="s">
        <v>59</v>
      </c>
      <c r="I28" s="47" t="s">
        <v>60</v>
      </c>
      <c r="J28" s="45" t="s">
        <v>61</v>
      </c>
      <c r="K28" s="47" t="s">
        <v>62</v>
      </c>
      <c r="M28" s="3"/>
      <c r="N28" s="3"/>
      <c r="O28" s="3"/>
      <c r="P28" s="47" t="s">
        <v>59</v>
      </c>
      <c r="Q28" s="47" t="s">
        <v>60</v>
      </c>
      <c r="R28" s="45" t="s">
        <v>61</v>
      </c>
      <c r="S28" s="47" t="s">
        <v>62</v>
      </c>
      <c r="T28" s="47"/>
      <c r="U28" s="3"/>
      <c r="V28" s="3"/>
      <c r="W28" s="3"/>
      <c r="X28" s="47" t="s">
        <v>59</v>
      </c>
      <c r="Y28" s="47" t="s">
        <v>60</v>
      </c>
      <c r="Z28" s="45" t="s">
        <v>61</v>
      </c>
      <c r="AA28" s="47" t="s">
        <v>62</v>
      </c>
      <c r="AB28" s="47"/>
      <c r="AC28" s="3"/>
      <c r="AD28" s="3"/>
      <c r="AE28" s="3"/>
      <c r="AF28" s="47" t="s">
        <v>59</v>
      </c>
      <c r="AG28" s="47" t="s">
        <v>60</v>
      </c>
      <c r="AH28" s="45" t="s">
        <v>61</v>
      </c>
      <c r="AI28" s="47" t="s">
        <v>62</v>
      </c>
      <c r="AK28" s="196"/>
      <c r="AL28" s="196"/>
      <c r="AM28" s="196"/>
      <c r="AN28" s="196"/>
    </row>
    <row r="29" spans="1:40" ht="16.5" thickTop="1" thickBot="1">
      <c r="A29" s="5" t="s">
        <v>63</v>
      </c>
      <c r="B29" s="1" t="s">
        <v>8</v>
      </c>
      <c r="C29" s="7">
        <v>93000</v>
      </c>
      <c r="D29" s="14"/>
      <c r="E29" s="14"/>
      <c r="F29" s="5"/>
      <c r="G29" s="1"/>
      <c r="H29" s="14"/>
      <c r="I29" s="14"/>
      <c r="J29" s="14"/>
      <c r="K29" s="14"/>
      <c r="M29" s="14"/>
      <c r="N29" s="5"/>
      <c r="O29" s="1"/>
      <c r="P29" s="14"/>
      <c r="Q29" s="14"/>
      <c r="R29" s="14"/>
      <c r="S29" s="14"/>
      <c r="T29" s="14"/>
      <c r="U29" s="14"/>
      <c r="V29" s="5"/>
      <c r="W29" s="1"/>
      <c r="X29" s="14"/>
      <c r="Y29" s="14"/>
      <c r="Z29" s="14"/>
      <c r="AA29" s="14"/>
      <c r="AB29" s="14"/>
      <c r="AC29" s="14"/>
      <c r="AD29" s="5"/>
      <c r="AE29" s="1"/>
      <c r="AF29" s="14"/>
      <c r="AG29" s="14"/>
      <c r="AH29" s="14"/>
      <c r="AI29" s="14"/>
      <c r="AK29" s="224"/>
      <c r="AL29" s="224"/>
      <c r="AM29" s="224"/>
      <c r="AN29" s="224"/>
    </row>
    <row r="30" spans="1:40" ht="15.75" thickBot="1">
      <c r="A30" s="13" t="s">
        <v>64</v>
      </c>
      <c r="B30" s="1"/>
      <c r="C30" s="7">
        <f>(C29/365)/'Load Factor'!$C$3</f>
        <v>850.08062827866866</v>
      </c>
      <c r="D30" s="36"/>
      <c r="E30" s="46"/>
      <c r="F30" s="13"/>
      <c r="G30" s="1"/>
      <c r="H30" s="46"/>
      <c r="I30" s="46"/>
      <c r="J30" s="46"/>
      <c r="K30" s="46"/>
      <c r="M30" s="46"/>
      <c r="N30" s="13"/>
      <c r="O30" s="1"/>
      <c r="P30" s="46"/>
      <c r="Q30" s="46"/>
      <c r="R30" s="46"/>
      <c r="S30" s="46"/>
      <c r="T30" s="46"/>
      <c r="U30" s="46"/>
      <c r="V30" s="13"/>
      <c r="W30" s="1"/>
      <c r="X30" s="46"/>
      <c r="Y30" s="46"/>
      <c r="Z30" s="46"/>
      <c r="AA30" s="46"/>
      <c r="AB30" s="46"/>
      <c r="AC30" s="46"/>
      <c r="AD30" s="13"/>
      <c r="AE30" s="1"/>
      <c r="AF30" s="46"/>
      <c r="AG30" s="46"/>
      <c r="AH30" s="46"/>
      <c r="AI30" s="46"/>
    </row>
    <row r="31" spans="1:40">
      <c r="A31" s="8" t="s">
        <v>130</v>
      </c>
      <c r="B31" s="204">
        <v>12000</v>
      </c>
      <c r="C31" s="36"/>
      <c r="D31" s="9"/>
      <c r="E31" s="9"/>
      <c r="F31" t="s">
        <v>94</v>
      </c>
      <c r="G31" s="1" t="s">
        <v>11</v>
      </c>
      <c r="H31" s="9">
        <f>$H$4</f>
        <v>78.650000000000006</v>
      </c>
      <c r="I31" s="9">
        <f>H31*12</f>
        <v>943.80000000000007</v>
      </c>
      <c r="J31" s="9">
        <f>$I$4*12</f>
        <v>0</v>
      </c>
      <c r="K31" s="9">
        <f t="shared" ref="K31:K35" si="0">SUM(I31:J31)</f>
        <v>943.80000000000007</v>
      </c>
      <c r="M31" s="9"/>
      <c r="N31" s="8" t="s">
        <v>124</v>
      </c>
      <c r="O31" s="1" t="s">
        <v>11</v>
      </c>
      <c r="P31" s="9">
        <f>$O$14</f>
        <v>29.097610156886343</v>
      </c>
      <c r="Q31" s="9">
        <f>P31*12</f>
        <v>349.17132188263611</v>
      </c>
      <c r="R31" s="9">
        <f>$P$14*12</f>
        <v>0</v>
      </c>
      <c r="S31" s="9">
        <f>SUM(Q31:R31)</f>
        <v>349.17132188263611</v>
      </c>
      <c r="T31" s="9"/>
      <c r="U31" s="9"/>
      <c r="V31" s="8" t="s">
        <v>124</v>
      </c>
      <c r="W31" s="1" t="s">
        <v>11</v>
      </c>
      <c r="X31" s="9"/>
      <c r="Y31" s="9">
        <f>$W$14*12</f>
        <v>6022.6879026300103</v>
      </c>
      <c r="Z31" s="9">
        <f>$X$14*12</f>
        <v>92.819437466669029</v>
      </c>
      <c r="AA31" s="9">
        <f>SUM(Y31:Z31)</f>
        <v>6115.5073400966794</v>
      </c>
      <c r="AB31" s="9"/>
      <c r="AC31" s="9"/>
      <c r="AD31" s="8" t="s">
        <v>124</v>
      </c>
      <c r="AE31" s="1" t="s">
        <v>11</v>
      </c>
      <c r="AF31" s="9">
        <f>$AE$14</f>
        <v>29.1</v>
      </c>
      <c r="AG31" s="9">
        <f>AF31*12</f>
        <v>349.20000000000005</v>
      </c>
      <c r="AH31" s="9">
        <f>$AF$14*12</f>
        <v>0</v>
      </c>
      <c r="AI31" s="9">
        <f>SUM(AG31:AH31)</f>
        <v>349.20000000000005</v>
      </c>
    </row>
    <row r="32" spans="1:40">
      <c r="A32" s="8" t="s">
        <v>131</v>
      </c>
      <c r="B32" s="204">
        <v>69264.73</v>
      </c>
      <c r="C32" s="9"/>
      <c r="D32" s="9"/>
      <c r="E32" s="9"/>
      <c r="F32" t="s">
        <v>125</v>
      </c>
      <c r="G32" s="1" t="s">
        <v>11</v>
      </c>
      <c r="H32" s="9"/>
      <c r="I32" s="9">
        <f>SUMPRODUCT($H$6:$H$10,B31:B35)</f>
        <v>7345.4590152600003</v>
      </c>
      <c r="J32" s="9">
        <f>SUMPRODUCT($I$6:$I$10,B31:B35)</f>
        <v>27.621002969999999</v>
      </c>
      <c r="K32" s="9">
        <f t="shared" si="0"/>
        <v>7373.08001823</v>
      </c>
      <c r="M32" s="9"/>
      <c r="N32" s="8" t="s">
        <v>42</v>
      </c>
      <c r="O32" s="1" t="s">
        <v>11</v>
      </c>
      <c r="P32" s="9"/>
      <c r="Q32" s="9">
        <f>$O$15*C30*12</f>
        <v>6375.450354829979</v>
      </c>
      <c r="R32" s="9">
        <f>$P$15*C30*12</f>
        <v>104.303161383207</v>
      </c>
      <c r="S32" s="9">
        <f>SUM(Q32:R32)</f>
        <v>6479.7535162131862</v>
      </c>
      <c r="T32" s="9"/>
      <c r="U32" s="9"/>
      <c r="V32" s="8"/>
      <c r="W32" s="1"/>
      <c r="X32" s="9"/>
      <c r="Y32" s="9"/>
      <c r="Z32" s="9"/>
      <c r="AA32" s="9"/>
      <c r="AB32" s="9"/>
      <c r="AC32" s="9"/>
      <c r="AD32" s="8"/>
      <c r="AE32" s="1"/>
      <c r="AF32" s="9"/>
      <c r="AG32" s="9"/>
      <c r="AH32" s="9"/>
      <c r="AI32" s="9"/>
    </row>
    <row r="33" spans="1:40">
      <c r="A33" s="8" t="s">
        <v>132</v>
      </c>
      <c r="B33" s="204">
        <v>11735.279999999999</v>
      </c>
      <c r="C33" s="9"/>
      <c r="D33" s="9"/>
      <c r="E33" s="9"/>
      <c r="F33" t="s">
        <v>53</v>
      </c>
      <c r="G33" s="1" t="s">
        <v>11</v>
      </c>
      <c r="I33" s="270">
        <f>$H$14*C29</f>
        <v>-378.04500000000002</v>
      </c>
      <c r="J33" s="9">
        <f>$I$14*C29</f>
        <v>3056.4450000000006</v>
      </c>
      <c r="K33" s="9">
        <f t="shared" si="0"/>
        <v>2678.4000000000005</v>
      </c>
      <c r="M33" s="9"/>
      <c r="N33" s="8" t="s">
        <v>44</v>
      </c>
      <c r="O33" s="1" t="s">
        <v>11</v>
      </c>
      <c r="Q33" s="44">
        <f>$O$16*C29</f>
        <v>0</v>
      </c>
      <c r="R33" s="9">
        <f>$P$16*C29</f>
        <v>359.83176076244519</v>
      </c>
      <c r="S33" s="9">
        <f>Q33+R33</f>
        <v>359.83176076244519</v>
      </c>
      <c r="T33" s="9"/>
      <c r="U33" s="9"/>
      <c r="V33" s="8" t="s">
        <v>44</v>
      </c>
      <c r="W33" s="1" t="s">
        <v>11</v>
      </c>
      <c r="Y33" s="270">
        <f>$W$16*C29</f>
        <v>0</v>
      </c>
      <c r="Z33" s="9">
        <f>$X$16*C29</f>
        <v>359.83176076244519</v>
      </c>
      <c r="AA33" s="9">
        <f>SUM(Y33:Z33)</f>
        <v>359.83176076244519</v>
      </c>
      <c r="AB33" s="9"/>
      <c r="AC33" s="9"/>
      <c r="AD33" s="8" t="s">
        <v>44</v>
      </c>
      <c r="AE33" s="1" t="s">
        <v>11</v>
      </c>
      <c r="AG33" s="270">
        <f>$AE$16*C29</f>
        <v>6833.9409309245166</v>
      </c>
      <c r="AH33" s="9">
        <f>$AF$16*C29</f>
        <v>471.63588504074215</v>
      </c>
      <c r="AI33" s="9">
        <f>SUM(AG33:AH33)</f>
        <v>7305.5768159652589</v>
      </c>
    </row>
    <row r="34" spans="1:40">
      <c r="A34" s="8" t="s">
        <v>133</v>
      </c>
      <c r="B34" s="204">
        <v>0</v>
      </c>
      <c r="C34" s="9"/>
      <c r="D34" s="9"/>
      <c r="F34" t="s">
        <v>126</v>
      </c>
      <c r="G34" s="1" t="s">
        <v>11</v>
      </c>
      <c r="I34" s="270">
        <f>$H$17*C29</f>
        <v>1372.587</v>
      </c>
      <c r="J34" s="9">
        <f>$I$17*C29</f>
        <v>275.83799999999968</v>
      </c>
      <c r="K34" s="9">
        <f t="shared" si="0"/>
        <v>1648.4249999999997</v>
      </c>
      <c r="N34" s="8" t="s">
        <v>14</v>
      </c>
      <c r="O34" s="1" t="s">
        <v>11</v>
      </c>
      <c r="Q34" s="259">
        <f>$O$17*C29</f>
        <v>-76.289815794590467</v>
      </c>
      <c r="R34" s="259">
        <f>$P$17*C29</f>
        <v>1546.7041407407867</v>
      </c>
      <c r="S34" s="259">
        <f>Q34+R34</f>
        <v>1470.4143249461963</v>
      </c>
      <c r="T34" s="9"/>
      <c r="V34" s="168" t="s">
        <v>14</v>
      </c>
      <c r="W34" s="260" t="s">
        <v>11</v>
      </c>
      <c r="Y34" s="259">
        <f>$W$17*C29</f>
        <v>-76.289815794590467</v>
      </c>
      <c r="Z34" s="259">
        <f>$X$17*C29</f>
        <v>1546.7041407407867</v>
      </c>
      <c r="AA34" s="259">
        <f>Y34+Z34</f>
        <v>1470.4143249461963</v>
      </c>
      <c r="AB34" s="9"/>
      <c r="AD34" s="8" t="s">
        <v>14</v>
      </c>
      <c r="AE34" s="1" t="s">
        <v>11</v>
      </c>
      <c r="AG34" s="224">
        <f>$AE$17*C29</f>
        <v>-76.289815794590467</v>
      </c>
      <c r="AH34" s="224">
        <f>$AF$17*C29</f>
        <v>1546.7041407407867</v>
      </c>
      <c r="AI34" s="224">
        <f>AG34+AH34</f>
        <v>1470.4143249461963</v>
      </c>
    </row>
    <row r="35" spans="1:40">
      <c r="A35" s="8" t="s">
        <v>134</v>
      </c>
      <c r="B35" s="205">
        <v>0</v>
      </c>
      <c r="C35" s="9"/>
      <c r="D35" s="39"/>
      <c r="E35" s="9"/>
      <c r="F35" t="s">
        <v>120</v>
      </c>
      <c r="G35" s="1" t="s">
        <v>11</v>
      </c>
      <c r="H35" s="9"/>
      <c r="I35" s="285">
        <f>$H$20*C29</f>
        <v>199.113</v>
      </c>
      <c r="J35" s="285">
        <f>$I$20*C29</f>
        <v>10026.329999999998</v>
      </c>
      <c r="K35" s="9">
        <f t="shared" si="0"/>
        <v>10225.442999999997</v>
      </c>
      <c r="M35" s="9"/>
      <c r="N35" s="8" t="s">
        <v>48</v>
      </c>
      <c r="O35" s="1" t="s">
        <v>11</v>
      </c>
      <c r="P35" s="9"/>
      <c r="Q35" s="9">
        <f>$O$18*C29</f>
        <v>130.64333111999406</v>
      </c>
      <c r="R35" s="9">
        <f>$P$18*C29</f>
        <v>13263.083927716654</v>
      </c>
      <c r="S35" s="9">
        <f>SUM(Q35:R35)</f>
        <v>13393.727258836649</v>
      </c>
      <c r="T35" s="9"/>
      <c r="U35" s="9"/>
      <c r="V35" s="8" t="s">
        <v>48</v>
      </c>
      <c r="W35" s="1" t="s">
        <v>11</v>
      </c>
      <c r="X35" s="9"/>
      <c r="Y35" s="9">
        <f>$W$18*C29</f>
        <v>130.64333111999406</v>
      </c>
      <c r="Z35" s="9">
        <f>$X$18*C29</f>
        <v>13263.083927716654</v>
      </c>
      <c r="AA35" s="9">
        <f>SUM(Y35:Z35)</f>
        <v>13393.727258836649</v>
      </c>
      <c r="AB35" s="9"/>
      <c r="AC35" s="9"/>
      <c r="AD35" s="8" t="s">
        <v>48</v>
      </c>
      <c r="AE35" s="1" t="s">
        <v>11</v>
      </c>
      <c r="AF35" s="9"/>
      <c r="AG35" s="9">
        <f>$AE$18*C29</f>
        <v>130.64333111999406</v>
      </c>
      <c r="AH35" s="9">
        <f>$AF$18*C29</f>
        <v>13263.083927716654</v>
      </c>
      <c r="AI35" s="9">
        <f>SUM(AG35:AH35)</f>
        <v>13393.727258836649</v>
      </c>
    </row>
    <row r="36" spans="1:40">
      <c r="A36" s="38"/>
      <c r="B36" s="1"/>
      <c r="C36" s="39"/>
      <c r="D36" s="39"/>
      <c r="E36" s="39"/>
      <c r="F36" s="38" t="s">
        <v>74</v>
      </c>
      <c r="G36" s="1" t="s">
        <v>11</v>
      </c>
      <c r="H36" s="39"/>
      <c r="I36" s="39">
        <f>SUM(I31:I35)</f>
        <v>9482.9140152599994</v>
      </c>
      <c r="J36" s="39">
        <f>SUM(J31:J35)</f>
        <v>13386.234002969999</v>
      </c>
      <c r="K36" s="39">
        <f>SUM(K31:K35)</f>
        <v>22869.14801823</v>
      </c>
      <c r="M36" s="39"/>
      <c r="N36" s="38" t="s">
        <v>74</v>
      </c>
      <c r="O36" s="1" t="s">
        <v>11</v>
      </c>
      <c r="P36" s="39"/>
      <c r="Q36" s="39">
        <f>SUM(Q31:Q35)</f>
        <v>6778.9751920380195</v>
      </c>
      <c r="R36" s="39">
        <f>SUM(R31:R35)</f>
        <v>15273.922990603092</v>
      </c>
      <c r="S36" s="39">
        <f>SUM(S31:S35)</f>
        <v>22052.898182641111</v>
      </c>
      <c r="T36" s="39"/>
      <c r="U36" s="39"/>
      <c r="V36" s="38" t="s">
        <v>74</v>
      </c>
      <c r="W36" s="1" t="s">
        <v>11</v>
      </c>
      <c r="X36" s="39"/>
      <c r="Y36" s="39">
        <f>SUM(Y31:Y35)</f>
        <v>6077.0414179554145</v>
      </c>
      <c r="Z36" s="39">
        <f>SUM(Z31:Z35)</f>
        <v>15262.439266686555</v>
      </c>
      <c r="AA36" s="39">
        <f>SUM(AA31:AA35)</f>
        <v>21339.480684641967</v>
      </c>
      <c r="AB36" s="39"/>
      <c r="AC36" s="39"/>
      <c r="AD36" s="38" t="s">
        <v>74</v>
      </c>
      <c r="AE36" s="1" t="s">
        <v>11</v>
      </c>
      <c r="AF36" s="39"/>
      <c r="AG36" s="39">
        <f>SUM(AG31:AG35)</f>
        <v>7237.4944462499207</v>
      </c>
      <c r="AH36" s="39">
        <f>SUM(AH31:AH35)</f>
        <v>15281.423953498183</v>
      </c>
      <c r="AI36" s="39">
        <f>SUM(AI31:AI35)</f>
        <v>22518.918399748101</v>
      </c>
    </row>
    <row r="37" spans="1:40">
      <c r="A37" s="38"/>
      <c r="B37" s="1"/>
      <c r="C37" s="39"/>
      <c r="D37" s="39"/>
      <c r="E37" s="39"/>
      <c r="F37" s="38"/>
      <c r="G37" s="1"/>
      <c r="H37" s="39"/>
      <c r="I37" s="39"/>
      <c r="J37" s="39"/>
      <c r="K37" s="39"/>
      <c r="M37" s="39"/>
      <c r="N37" s="38"/>
      <c r="O37" s="1"/>
      <c r="P37" s="39"/>
      <c r="Q37" s="39"/>
      <c r="R37" s="39"/>
      <c r="S37" s="39"/>
      <c r="T37" s="39"/>
      <c r="U37" s="39"/>
      <c r="V37" s="38"/>
      <c r="W37" s="1"/>
      <c r="X37" s="39"/>
      <c r="Y37" s="39"/>
      <c r="Z37" s="39"/>
      <c r="AA37" s="39"/>
      <c r="AB37" s="39"/>
      <c r="AC37" s="39"/>
      <c r="AD37" s="38"/>
      <c r="AE37" s="1"/>
      <c r="AF37" s="39"/>
      <c r="AG37" s="39"/>
      <c r="AH37" s="39"/>
      <c r="AI37" s="39"/>
    </row>
    <row r="38" spans="1:40" s="35" customFormat="1">
      <c r="A38" s="37"/>
      <c r="B38" s="11"/>
      <c r="C38" s="12"/>
      <c r="D38" s="12"/>
      <c r="E38" s="12"/>
      <c r="F38" s="37"/>
      <c r="G38" s="11"/>
      <c r="H38" s="12"/>
      <c r="I38" s="15" t="s">
        <v>24</v>
      </c>
      <c r="K38" s="184"/>
      <c r="M38" s="12"/>
      <c r="N38" s="37"/>
      <c r="O38" s="11"/>
      <c r="P38" s="12"/>
      <c r="Q38" s="12" t="s">
        <v>24</v>
      </c>
      <c r="R38" s="12"/>
      <c r="S38" s="12">
        <f>S36/K36</f>
        <v>0.96430781614871608</v>
      </c>
      <c r="T38" s="12"/>
      <c r="U38" s="12"/>
      <c r="V38" s="37"/>
      <c r="W38" s="11"/>
      <c r="X38" s="12"/>
      <c r="Y38" s="12" t="s">
        <v>24</v>
      </c>
      <c r="Z38" s="12"/>
      <c r="AA38" s="12">
        <f>AA36/K36</f>
        <v>0.93311218536131435</v>
      </c>
      <c r="AB38" s="12"/>
      <c r="AC38" s="12"/>
      <c r="AD38" s="37"/>
      <c r="AE38" s="11"/>
      <c r="AF38" s="12"/>
      <c r="AG38" s="12" t="s">
        <v>24</v>
      </c>
      <c r="AH38" s="12"/>
      <c r="AI38" s="12">
        <f>AI36/K36</f>
        <v>0.98468549776306857</v>
      </c>
    </row>
    <row r="39" spans="1:40">
      <c r="A39" s="38"/>
      <c r="B39" s="1"/>
      <c r="C39" s="39"/>
      <c r="D39" s="39"/>
    </row>
    <row r="40" spans="1:40" s="41" customFormat="1" ht="23.25">
      <c r="A40" s="41" t="s">
        <v>127</v>
      </c>
      <c r="AK40" s="371"/>
      <c r="AL40" s="371"/>
      <c r="AM40" s="371"/>
      <c r="AN40" s="371"/>
    </row>
    <row r="41" spans="1:40">
      <c r="AK41" s="417"/>
      <c r="AL41" s="417"/>
      <c r="AM41" s="417"/>
      <c r="AN41" s="417"/>
    </row>
    <row r="42" spans="1:40" ht="39.75" customHeight="1" thickBot="1">
      <c r="A42" t="s">
        <v>106</v>
      </c>
      <c r="E42" s="3"/>
      <c r="F42" s="3"/>
      <c r="G42" s="3"/>
      <c r="H42" s="47" t="s">
        <v>59</v>
      </c>
      <c r="I42" s="47" t="s">
        <v>60</v>
      </c>
      <c r="J42" s="45" t="s">
        <v>61</v>
      </c>
      <c r="K42" s="47" t="s">
        <v>62</v>
      </c>
      <c r="N42" s="3"/>
      <c r="O42" s="3"/>
      <c r="P42" s="47" t="s">
        <v>59</v>
      </c>
      <c r="Q42" s="47" t="s">
        <v>60</v>
      </c>
      <c r="R42" s="45" t="s">
        <v>61</v>
      </c>
      <c r="S42" s="47" t="s">
        <v>62</v>
      </c>
      <c r="T42" s="47"/>
      <c r="V42" s="3"/>
      <c r="W42" s="3"/>
      <c r="X42" s="47" t="s">
        <v>59</v>
      </c>
      <c r="Y42" s="47" t="s">
        <v>60</v>
      </c>
      <c r="Z42" s="45" t="s">
        <v>61</v>
      </c>
      <c r="AA42" s="47" t="s">
        <v>62</v>
      </c>
      <c r="AB42" s="47"/>
      <c r="AD42" s="3"/>
      <c r="AE42" s="3"/>
      <c r="AF42" s="47" t="s">
        <v>59</v>
      </c>
      <c r="AG42" s="47" t="s">
        <v>60</v>
      </c>
      <c r="AH42" s="45" t="s">
        <v>61</v>
      </c>
      <c r="AI42" s="47" t="s">
        <v>62</v>
      </c>
      <c r="AK42" s="196"/>
      <c r="AL42" s="196"/>
      <c r="AM42" s="196"/>
      <c r="AN42" s="196"/>
    </row>
    <row r="43" spans="1:40" ht="16.5" thickTop="1" thickBot="1">
      <c r="A43" s="5" t="s">
        <v>63</v>
      </c>
      <c r="B43" s="1" t="s">
        <v>8</v>
      </c>
      <c r="C43" s="7">
        <v>93000</v>
      </c>
      <c r="D43" s="14"/>
      <c r="E43" s="14"/>
      <c r="F43" s="5"/>
      <c r="G43" s="1"/>
      <c r="H43" s="14"/>
      <c r="I43" s="14"/>
      <c r="J43" s="14"/>
      <c r="K43" s="14"/>
      <c r="M43" s="3"/>
      <c r="N43" s="5"/>
      <c r="O43" s="1" t="s">
        <v>8</v>
      </c>
      <c r="P43" s="14"/>
      <c r="Q43" s="14"/>
      <c r="R43" s="14"/>
      <c r="S43" s="14"/>
      <c r="T43" s="14"/>
      <c r="U43" s="3"/>
      <c r="V43" s="5"/>
      <c r="W43" s="1"/>
      <c r="X43" s="14"/>
      <c r="Y43" s="14"/>
      <c r="Z43" s="14"/>
      <c r="AA43" s="14"/>
      <c r="AB43" s="14"/>
      <c r="AC43" s="3"/>
      <c r="AD43" s="5"/>
      <c r="AE43" s="1"/>
      <c r="AF43" s="14"/>
      <c r="AG43" s="14"/>
      <c r="AH43" s="14"/>
      <c r="AI43" s="14"/>
      <c r="AK43" s="224"/>
      <c r="AL43" s="224"/>
      <c r="AM43" s="224"/>
      <c r="AN43" s="224"/>
    </row>
    <row r="44" spans="1:40" ht="15.75" thickBot="1">
      <c r="A44" s="13" t="s">
        <v>64</v>
      </c>
      <c r="B44" s="1"/>
      <c r="C44" s="7">
        <f>(C43/365)/'Load Factor'!$C$3</f>
        <v>850.08062827866866</v>
      </c>
      <c r="D44" s="14"/>
      <c r="E44" s="46"/>
      <c r="F44" s="13"/>
      <c r="G44" s="1"/>
      <c r="H44" s="46"/>
      <c r="I44" s="46"/>
      <c r="J44" s="46"/>
      <c r="K44" s="46"/>
      <c r="M44" s="14"/>
      <c r="N44" s="13"/>
      <c r="O44" s="1"/>
      <c r="P44" s="46"/>
      <c r="Q44" s="46"/>
      <c r="R44" s="46"/>
      <c r="S44" s="46"/>
      <c r="T44" s="46"/>
      <c r="U44" s="14"/>
      <c r="V44" s="13"/>
      <c r="W44" s="1"/>
      <c r="X44" s="46"/>
      <c r="Y44" s="46"/>
      <c r="Z44" s="46"/>
      <c r="AA44" s="46"/>
      <c r="AB44" s="46"/>
      <c r="AC44" s="14"/>
      <c r="AD44" s="13"/>
      <c r="AE44" s="1"/>
      <c r="AF44" s="46"/>
      <c r="AG44" s="46"/>
      <c r="AH44" s="46"/>
      <c r="AI44" s="46"/>
    </row>
    <row r="45" spans="1:40">
      <c r="A45" s="8" t="s">
        <v>130</v>
      </c>
      <c r="B45" s="204">
        <v>12000</v>
      </c>
      <c r="C45" s="36"/>
      <c r="D45" s="36"/>
      <c r="E45" s="9"/>
      <c r="F45" t="s">
        <v>94</v>
      </c>
      <c r="G45" s="1" t="s">
        <v>11</v>
      </c>
      <c r="H45" s="9">
        <f>$H$4</f>
        <v>78.650000000000006</v>
      </c>
      <c r="I45" s="9">
        <f>H45*12</f>
        <v>943.80000000000007</v>
      </c>
      <c r="J45" s="9">
        <f>$I$4*12</f>
        <v>0</v>
      </c>
      <c r="K45" s="9">
        <f t="shared" ref="K45:K49" si="1">SUM(I45:J45)</f>
        <v>943.80000000000007</v>
      </c>
      <c r="M45" s="9"/>
      <c r="N45" s="8" t="s">
        <v>124</v>
      </c>
      <c r="O45" s="1" t="s">
        <v>11</v>
      </c>
      <c r="P45" s="9">
        <f>$O$14</f>
        <v>29.097610156886343</v>
      </c>
      <c r="Q45" s="9">
        <f>P45*12</f>
        <v>349.17132188263611</v>
      </c>
      <c r="R45" s="9">
        <f>$P$14*12</f>
        <v>0</v>
      </c>
      <c r="S45" s="9">
        <f>SUM(Q45:R45)</f>
        <v>349.17132188263611</v>
      </c>
      <c r="T45" s="9"/>
      <c r="U45" s="9"/>
      <c r="V45" s="8" t="s">
        <v>124</v>
      </c>
      <c r="W45" s="1" t="s">
        <v>11</v>
      </c>
      <c r="X45" s="9"/>
      <c r="Y45" s="9">
        <f>$W$14*12</f>
        <v>6022.6879026300103</v>
      </c>
      <c r="Z45" s="9">
        <f>$X$14*12</f>
        <v>92.819437466669029</v>
      </c>
      <c r="AA45" s="9">
        <f>SUM(Y45:Z45)</f>
        <v>6115.5073400966794</v>
      </c>
      <c r="AB45" s="9"/>
      <c r="AC45" s="9"/>
      <c r="AD45" s="8" t="s">
        <v>124</v>
      </c>
      <c r="AE45" s="1" t="s">
        <v>11</v>
      </c>
      <c r="AF45" s="9">
        <f>$AE$14</f>
        <v>29.1</v>
      </c>
      <c r="AG45" s="9">
        <f>AF45*12</f>
        <v>349.20000000000005</v>
      </c>
      <c r="AH45" s="9">
        <f>$AF$14*12</f>
        <v>0</v>
      </c>
      <c r="AI45" s="9">
        <f>SUM(AG45:AH45)</f>
        <v>349.20000000000005</v>
      </c>
    </row>
    <row r="46" spans="1:40">
      <c r="A46" s="8" t="s">
        <v>131</v>
      </c>
      <c r="B46" s="204">
        <v>69264.73</v>
      </c>
      <c r="C46" s="9"/>
      <c r="D46" s="9"/>
      <c r="E46" s="9"/>
      <c r="F46" t="s">
        <v>125</v>
      </c>
      <c r="G46" s="1" t="s">
        <v>11</v>
      </c>
      <c r="H46" s="9"/>
      <c r="I46" s="9">
        <f>SUMPRODUCT($H$6:$H$10,B45:B49)</f>
        <v>7345.4590152600003</v>
      </c>
      <c r="J46" s="9">
        <f>SUMPRODUCT($I$6:$I$10,B45:B49)</f>
        <v>27.621002969999999</v>
      </c>
      <c r="K46" s="9">
        <f t="shared" si="1"/>
        <v>7373.08001823</v>
      </c>
      <c r="M46" s="9"/>
      <c r="N46" s="8" t="s">
        <v>42</v>
      </c>
      <c r="O46" s="1" t="s">
        <v>11</v>
      </c>
      <c r="P46" s="9"/>
      <c r="Q46" s="9">
        <f>$O$15*C44*12</f>
        <v>6375.450354829979</v>
      </c>
      <c r="R46" s="9">
        <f>$P$15*C44*12</f>
        <v>104.303161383207</v>
      </c>
      <c r="S46" s="9">
        <f>SUM(Q46:R46)</f>
        <v>6479.7535162131862</v>
      </c>
      <c r="T46" s="9"/>
      <c r="U46" s="9"/>
      <c r="V46" s="8"/>
      <c r="W46" s="1"/>
      <c r="X46" s="9"/>
      <c r="Y46" s="9"/>
      <c r="Z46" s="9"/>
      <c r="AA46" s="9"/>
      <c r="AB46" s="9"/>
      <c r="AC46" s="9"/>
      <c r="AD46" s="8"/>
      <c r="AE46" s="1"/>
      <c r="AF46" s="9"/>
      <c r="AG46" s="9"/>
      <c r="AH46" s="9"/>
      <c r="AI46" s="9"/>
    </row>
    <row r="47" spans="1:40">
      <c r="A47" s="8" t="s">
        <v>132</v>
      </c>
      <c r="B47" s="204">
        <v>11735.279999999999</v>
      </c>
      <c r="C47" s="9"/>
      <c r="D47" s="9"/>
      <c r="E47" s="9"/>
      <c r="F47" t="s">
        <v>135</v>
      </c>
      <c r="G47" s="1" t="s">
        <v>11</v>
      </c>
      <c r="I47" s="270">
        <f>$H$14*C43</f>
        <v>-378.04500000000002</v>
      </c>
      <c r="J47" s="9">
        <f>$I$14*C43</f>
        <v>3056.4450000000006</v>
      </c>
      <c r="K47" s="9">
        <f t="shared" si="1"/>
        <v>2678.4000000000005</v>
      </c>
      <c r="M47" s="9"/>
      <c r="N47" s="8" t="s">
        <v>44</v>
      </c>
      <c r="O47" s="1" t="s">
        <v>11</v>
      </c>
      <c r="Q47" s="44">
        <f>$O$16*C43</f>
        <v>0</v>
      </c>
      <c r="R47" s="9">
        <f>$P$16*C43</f>
        <v>359.83176076244519</v>
      </c>
      <c r="S47" s="9">
        <f>Q47+R47</f>
        <v>359.83176076244519</v>
      </c>
      <c r="T47" s="9"/>
      <c r="U47" s="9"/>
      <c r="V47" s="8" t="s">
        <v>44</v>
      </c>
      <c r="W47" s="1" t="s">
        <v>11</v>
      </c>
      <c r="Y47" s="270">
        <f>$W$16*C43</f>
        <v>0</v>
      </c>
      <c r="Z47" s="9">
        <f>$X$16*C43</f>
        <v>359.83176076244519</v>
      </c>
      <c r="AA47" s="9">
        <f>SUM(Y47:Z47)</f>
        <v>359.83176076244519</v>
      </c>
      <c r="AB47" s="9"/>
      <c r="AC47" s="9"/>
      <c r="AD47" s="8" t="s">
        <v>44</v>
      </c>
      <c r="AE47" s="1" t="s">
        <v>11</v>
      </c>
      <c r="AG47" s="270">
        <f>$AE$16*C43</f>
        <v>6833.9409309245166</v>
      </c>
      <c r="AH47" s="9">
        <f>$AF$16*C43</f>
        <v>471.63588504074215</v>
      </c>
      <c r="AI47" s="9">
        <f>SUM(AG47:AH47)</f>
        <v>7305.5768159652589</v>
      </c>
    </row>
    <row r="48" spans="1:40">
      <c r="A48" s="8" t="s">
        <v>133</v>
      </c>
      <c r="B48" s="204">
        <v>0</v>
      </c>
      <c r="C48" s="9"/>
      <c r="D48" s="9"/>
      <c r="F48" t="s">
        <v>128</v>
      </c>
      <c r="G48" s="1" t="s">
        <v>11</v>
      </c>
      <c r="I48" s="270">
        <f>$H$18*C43</f>
        <v>1596.345</v>
      </c>
      <c r="J48" s="9">
        <f>$I$18*C43</f>
        <v>2529.6930000000011</v>
      </c>
      <c r="K48" s="9">
        <f t="shared" si="1"/>
        <v>4126.0380000000014</v>
      </c>
      <c r="N48" s="8" t="s">
        <v>14</v>
      </c>
      <c r="O48" s="1" t="s">
        <v>11</v>
      </c>
      <c r="Q48" s="259">
        <f>$O$17*C43</f>
        <v>-76.289815794590467</v>
      </c>
      <c r="R48" s="259">
        <f>$P$17*C43</f>
        <v>1546.7041407407867</v>
      </c>
      <c r="S48" s="259">
        <f>Q48+R48</f>
        <v>1470.4143249461963</v>
      </c>
      <c r="T48" s="9"/>
      <c r="V48" s="168" t="s">
        <v>14</v>
      </c>
      <c r="W48" s="260" t="s">
        <v>11</v>
      </c>
      <c r="Y48" s="259">
        <f>$W$17*C43</f>
        <v>-76.289815794590467</v>
      </c>
      <c r="Z48" s="259">
        <f>$X$17*C43</f>
        <v>1546.7041407407867</v>
      </c>
      <c r="AA48" s="259">
        <f>Y48+Z48</f>
        <v>1470.4143249461963</v>
      </c>
      <c r="AB48" s="9"/>
      <c r="AD48" s="8" t="s">
        <v>14</v>
      </c>
      <c r="AE48" s="1" t="s">
        <v>11</v>
      </c>
      <c r="AG48" s="224">
        <f>$AE$17*C43</f>
        <v>-76.289815794590467</v>
      </c>
      <c r="AH48" s="224">
        <f>$AF$17*C43</f>
        <v>1546.7041407407867</v>
      </c>
      <c r="AI48" s="224">
        <f>AG48+AH48</f>
        <v>1470.4143249461963</v>
      </c>
    </row>
    <row r="49" spans="1:35">
      <c r="A49" s="8" t="s">
        <v>134</v>
      </c>
      <c r="B49" s="205">
        <v>0</v>
      </c>
      <c r="C49" s="9"/>
      <c r="D49" s="9"/>
      <c r="E49" s="9"/>
      <c r="F49" t="s">
        <v>121</v>
      </c>
      <c r="G49" s="1" t="s">
        <v>11</v>
      </c>
      <c r="H49" s="9"/>
      <c r="I49" s="285">
        <f>$H$21*C43</f>
        <v>199.113</v>
      </c>
      <c r="J49" s="285">
        <f>$I$21*C43</f>
        <v>14806.089625739358</v>
      </c>
      <c r="K49" s="9">
        <f t="shared" si="1"/>
        <v>15005.202625739357</v>
      </c>
      <c r="M49" s="9"/>
      <c r="N49" s="8" t="s">
        <v>48</v>
      </c>
      <c r="O49" s="1" t="s">
        <v>11</v>
      </c>
      <c r="P49" s="9"/>
      <c r="Q49" s="9">
        <f>$O$18*C43</f>
        <v>130.64333111999406</v>
      </c>
      <c r="R49" s="9">
        <f>$P$18*C43</f>
        <v>13263.083927716654</v>
      </c>
      <c r="S49" s="9">
        <f>SUM(Q49:R49)</f>
        <v>13393.727258836649</v>
      </c>
      <c r="T49" s="9"/>
      <c r="U49" s="9"/>
      <c r="V49" s="8" t="s">
        <v>48</v>
      </c>
      <c r="W49" s="1" t="s">
        <v>11</v>
      </c>
      <c r="X49" s="9"/>
      <c r="Y49" s="9">
        <f>$W$18*C43</f>
        <v>130.64333111999406</v>
      </c>
      <c r="Z49" s="9">
        <f>$X$18*C43</f>
        <v>13263.083927716654</v>
      </c>
      <c r="AA49" s="9">
        <f>SUM(Y49:Z49)</f>
        <v>13393.727258836649</v>
      </c>
      <c r="AB49" s="9"/>
      <c r="AC49" s="9"/>
      <c r="AD49" s="8" t="s">
        <v>48</v>
      </c>
      <c r="AE49" s="1" t="s">
        <v>11</v>
      </c>
      <c r="AF49" s="9"/>
      <c r="AG49" s="9">
        <f>$AE$18*C43</f>
        <v>130.64333111999406</v>
      </c>
      <c r="AH49" s="9">
        <f>$AF$18*C43</f>
        <v>13263.083927716654</v>
      </c>
      <c r="AI49" s="9">
        <f>SUM(AG49:AH49)</f>
        <v>13393.727258836649</v>
      </c>
    </row>
    <row r="50" spans="1:35">
      <c r="A50" s="38"/>
      <c r="B50" s="1"/>
      <c r="C50" s="39"/>
      <c r="D50" s="39"/>
      <c r="E50" s="39"/>
      <c r="F50" s="38" t="s">
        <v>74</v>
      </c>
      <c r="G50" s="1" t="s">
        <v>11</v>
      </c>
      <c r="H50" s="39"/>
      <c r="I50" s="39">
        <f>SUM(I45:I49)</f>
        <v>9706.6720152599992</v>
      </c>
      <c r="J50" s="39">
        <f>SUM(J45:J49)</f>
        <v>20419.848628709362</v>
      </c>
      <c r="K50" s="39">
        <f>SUM(K45:K49)</f>
        <v>30126.520643969357</v>
      </c>
      <c r="M50" s="39"/>
      <c r="N50" s="38" t="s">
        <v>74</v>
      </c>
      <c r="O50" s="1" t="s">
        <v>11</v>
      </c>
      <c r="P50" s="39"/>
      <c r="Q50" s="39">
        <f>SUM(Q45:Q49)</f>
        <v>6778.9751920380195</v>
      </c>
      <c r="R50" s="39">
        <f>SUM(R45:R49)</f>
        <v>15273.922990603092</v>
      </c>
      <c r="S50" s="39">
        <f>SUM(S45:S49)</f>
        <v>22052.898182641111</v>
      </c>
      <c r="T50" s="39"/>
      <c r="U50" s="39"/>
      <c r="V50" s="38" t="s">
        <v>74</v>
      </c>
      <c r="W50" s="1" t="s">
        <v>11</v>
      </c>
      <c r="X50" s="39"/>
      <c r="Y50" s="39">
        <f>SUM(Y45:Y49)</f>
        <v>6077.0414179554145</v>
      </c>
      <c r="Z50" s="39">
        <f>SUM(Z45:Z49)</f>
        <v>15262.439266686555</v>
      </c>
      <c r="AA50" s="39">
        <f>SUM(AA45:AA49)</f>
        <v>21339.480684641967</v>
      </c>
      <c r="AB50" s="39"/>
      <c r="AC50" s="39"/>
      <c r="AD50" s="38" t="s">
        <v>74</v>
      </c>
      <c r="AE50" s="1" t="s">
        <v>11</v>
      </c>
      <c r="AF50" s="39"/>
      <c r="AG50" s="39">
        <f>SUM(AG45:AG49)</f>
        <v>7237.4944462499207</v>
      </c>
      <c r="AH50" s="39">
        <f>SUM(AH45:AH49)</f>
        <v>15281.423953498183</v>
      </c>
      <c r="AI50" s="39">
        <f>SUM(AI45:AI49)</f>
        <v>22518.918399748101</v>
      </c>
    </row>
    <row r="51" spans="1:35">
      <c r="A51" s="38"/>
      <c r="B51" s="1"/>
      <c r="C51" s="39"/>
      <c r="D51" s="39"/>
      <c r="E51" s="39"/>
      <c r="F51" s="8"/>
      <c r="G51" s="1"/>
      <c r="H51" s="9"/>
      <c r="I51" s="56"/>
      <c r="J51" s="56"/>
      <c r="N51" s="38"/>
      <c r="O51" s="1"/>
      <c r="P51" s="39"/>
      <c r="Q51" s="39"/>
      <c r="R51" s="39"/>
      <c r="S51" s="39"/>
      <c r="V51" s="38"/>
      <c r="W51" s="1"/>
      <c r="X51" s="39"/>
      <c r="Y51" s="39"/>
      <c r="Z51" s="39"/>
      <c r="AA51" s="39"/>
      <c r="AD51" s="38"/>
      <c r="AE51" s="1"/>
      <c r="AF51" s="39"/>
      <c r="AG51" s="39"/>
      <c r="AH51" s="39"/>
      <c r="AI51" s="39"/>
    </row>
    <row r="52" spans="1:35" s="35" customFormat="1">
      <c r="A52" s="37"/>
      <c r="B52" s="11"/>
      <c r="C52" s="12"/>
      <c r="D52" s="12"/>
      <c r="E52" s="12"/>
      <c r="F52" s="37"/>
      <c r="G52" s="11"/>
      <c r="H52" s="12"/>
      <c r="I52" s="15" t="s">
        <v>24</v>
      </c>
      <c r="K52" s="379"/>
      <c r="M52" s="12"/>
      <c r="N52" s="37"/>
      <c r="O52" s="11"/>
      <c r="P52" s="12"/>
      <c r="Q52" s="12" t="s">
        <v>24</v>
      </c>
      <c r="R52" s="12"/>
      <c r="S52" s="12">
        <f>S50/K50</f>
        <v>0.73200946246859733</v>
      </c>
      <c r="T52" s="12"/>
      <c r="U52" s="12"/>
      <c r="V52" s="37"/>
      <c r="W52" s="11"/>
      <c r="X52" s="12"/>
      <c r="Y52" s="12" t="s">
        <v>24</v>
      </c>
      <c r="Z52" s="12"/>
      <c r="AA52" s="12">
        <f>AA50/K50</f>
        <v>0.70832874917182465</v>
      </c>
      <c r="AB52" s="12"/>
      <c r="AC52" s="12"/>
      <c r="AD52" s="37"/>
      <c r="AE52" s="11"/>
      <c r="AF52" s="12"/>
      <c r="AG52" s="12" t="s">
        <v>24</v>
      </c>
      <c r="AH52" s="12"/>
      <c r="AI52" s="12">
        <f>AI50/K50</f>
        <v>0.74747823241433209</v>
      </c>
    </row>
  </sheetData>
  <mergeCells count="18">
    <mergeCell ref="E26:K26"/>
    <mergeCell ref="M26:S26"/>
    <mergeCell ref="N12:Q12"/>
    <mergeCell ref="A1:I1"/>
    <mergeCell ref="F2:J2"/>
    <mergeCell ref="N2:Q2"/>
    <mergeCell ref="N3:Q3"/>
    <mergeCell ref="AK26:AN26"/>
    <mergeCell ref="AK27:AN27"/>
    <mergeCell ref="AK41:AN41"/>
    <mergeCell ref="V2:Y2"/>
    <mergeCell ref="V3:Y3"/>
    <mergeCell ref="V12:Y12"/>
    <mergeCell ref="U26:AA26"/>
    <mergeCell ref="AD2:AG2"/>
    <mergeCell ref="AD3:AG3"/>
    <mergeCell ref="AD12:AG12"/>
    <mergeCell ref="AC26:AI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99E1-E524-4D3F-B1F6-A6FB06B66C47}">
  <sheetPr codeName="Sheet12">
    <tabColor rgb="FFFF0000"/>
  </sheetPr>
  <dimension ref="C3:R337"/>
  <sheetViews>
    <sheetView topLeftCell="A34" zoomScale="85" zoomScaleNormal="85" zoomScaleSheetLayoutView="50" workbookViewId="0">
      <selection activeCell="E9" sqref="E9"/>
    </sheetView>
  </sheetViews>
  <sheetFormatPr defaultColWidth="8.85546875" defaultRowHeight="15"/>
  <cols>
    <col min="1" max="1" width="8.85546875" style="83"/>
    <col min="2" max="2" width="4.140625" style="83" customWidth="1"/>
    <col min="3" max="3" width="19.7109375" style="83" customWidth="1"/>
    <col min="4" max="4" width="7.85546875" style="83" bestFit="1" customWidth="1"/>
    <col min="5" max="5" width="10.42578125" style="83" customWidth="1"/>
    <col min="6" max="7" width="11.7109375" style="83" customWidth="1"/>
    <col min="8" max="10" width="8.85546875" style="83" hidden="1" customWidth="1"/>
    <col min="11" max="11" width="10.28515625" style="83" hidden="1" customWidth="1"/>
    <col min="12" max="12" width="12.42578125" style="83" customWidth="1"/>
    <col min="13" max="13" width="10.42578125" style="83" customWidth="1"/>
    <col min="14" max="14" width="10.7109375" style="83" bestFit="1" customWidth="1"/>
    <col min="15" max="15" width="4.28515625" style="83" customWidth="1"/>
    <col min="16" max="19" width="8.85546875" style="83"/>
    <col min="20" max="20" width="2.28515625" style="83" customWidth="1"/>
    <col min="21" max="21" width="9" style="83" customWidth="1"/>
    <col min="22" max="22" width="4.28515625" style="83" customWidth="1"/>
    <col min="23" max="23" width="14.28515625" style="83" customWidth="1"/>
    <col min="24" max="29" width="8.85546875" style="83" customWidth="1"/>
    <col min="30" max="30" width="8.85546875" style="83"/>
    <col min="31" max="31" width="3.28515625" style="83" customWidth="1"/>
    <col min="32" max="16384" width="8.85546875" style="83"/>
  </cols>
  <sheetData>
    <row r="3" spans="3:18" ht="18.75">
      <c r="C3" s="107" t="s">
        <v>23</v>
      </c>
    </row>
    <row r="4" spans="3:18" ht="15.75">
      <c r="C4" s="244" t="s">
        <v>0</v>
      </c>
      <c r="D4" s="230"/>
      <c r="E4" s="454"/>
      <c r="F4" s="454"/>
      <c r="G4" s="454"/>
      <c r="H4" s="454"/>
      <c r="I4" s="454"/>
      <c r="J4" s="454"/>
      <c r="K4" s="454"/>
      <c r="L4" s="454"/>
      <c r="M4" s="454"/>
      <c r="N4" s="454"/>
    </row>
    <row r="5" spans="3:18" ht="15" customHeight="1">
      <c r="C5" s="108" t="s">
        <v>7</v>
      </c>
      <c r="D5" s="243">
        <v>2400</v>
      </c>
      <c r="E5" s="446" t="s">
        <v>136</v>
      </c>
      <c r="F5" s="446"/>
      <c r="G5" s="446"/>
      <c r="L5" s="447" t="s">
        <v>137</v>
      </c>
      <c r="M5" s="448"/>
      <c r="N5" s="449"/>
    </row>
    <row r="6" spans="3:18" ht="15.75" customHeight="1">
      <c r="C6" s="103" t="s">
        <v>9</v>
      </c>
      <c r="D6" s="242">
        <v>24.362687338309179</v>
      </c>
      <c r="E6" s="446"/>
      <c r="F6" s="446"/>
      <c r="G6" s="446"/>
      <c r="H6" s="236"/>
      <c r="K6" s="237"/>
      <c r="L6" s="450"/>
      <c r="M6" s="451"/>
      <c r="N6" s="452"/>
    </row>
    <row r="7" spans="3:18" ht="33.75" customHeight="1">
      <c r="C7" s="103"/>
      <c r="D7" s="242"/>
      <c r="E7" s="389" t="s">
        <v>60</v>
      </c>
      <c r="F7" s="390" t="s">
        <v>61</v>
      </c>
      <c r="G7" s="389" t="s">
        <v>62</v>
      </c>
      <c r="H7" s="391" t="s">
        <v>4</v>
      </c>
      <c r="I7" s="391" t="s">
        <v>5</v>
      </c>
      <c r="J7" s="392" t="s">
        <v>2</v>
      </c>
      <c r="K7" s="393" t="s">
        <v>6</v>
      </c>
      <c r="L7" s="389" t="s">
        <v>60</v>
      </c>
      <c r="M7" s="390" t="s">
        <v>61</v>
      </c>
      <c r="N7" s="389" t="s">
        <v>62</v>
      </c>
    </row>
    <row r="8" spans="3:18">
      <c r="C8" s="95" t="s">
        <v>10</v>
      </c>
      <c r="D8" s="240" t="s">
        <v>11</v>
      </c>
      <c r="E8" s="349">
        <f>'R1'!K55</f>
        <v>296.64</v>
      </c>
      <c r="F8" s="349"/>
      <c r="G8" s="349">
        <f>'R1'!M55</f>
        <v>296.64</v>
      </c>
      <c r="H8" s="350" t="e">
        <f>+'R1'!#REF!</f>
        <v>#REF!</v>
      </c>
      <c r="I8" s="350" t="e">
        <f>+'R1'!#REF!</f>
        <v>#REF!</v>
      </c>
      <c r="J8" s="351" t="e">
        <f>+'R1'!#REF!</f>
        <v>#REF!</v>
      </c>
      <c r="K8" s="351" t="e">
        <f>SUM(I8:J8)</f>
        <v>#REF!</v>
      </c>
      <c r="L8" s="348">
        <f>'R1'!S55</f>
        <v>349.17132188263611</v>
      </c>
      <c r="M8" s="348"/>
      <c r="N8" s="348">
        <f>'R1'!U55</f>
        <v>349.17132188263611</v>
      </c>
    </row>
    <row r="9" spans="3:18">
      <c r="C9" s="95" t="s">
        <v>95</v>
      </c>
      <c r="D9" s="96" t="s">
        <v>11</v>
      </c>
      <c r="E9" s="349"/>
      <c r="F9" s="349"/>
      <c r="G9" s="349"/>
      <c r="H9" s="350"/>
      <c r="I9" s="350"/>
      <c r="J9" s="351"/>
      <c r="K9" s="351"/>
      <c r="L9" s="348">
        <f>'R1'!S56</f>
        <v>176.52501062262675</v>
      </c>
      <c r="M9" s="348">
        <f>'R1'!T56</f>
        <v>3.0103972639487453</v>
      </c>
      <c r="N9" s="348">
        <f>'R1'!U56</f>
        <v>179.53540788657548</v>
      </c>
    </row>
    <row r="10" spans="3:18">
      <c r="C10" s="95" t="s">
        <v>138</v>
      </c>
      <c r="D10" s="96" t="s">
        <v>11</v>
      </c>
      <c r="E10" s="349">
        <f>'R1'!K57</f>
        <v>192.76645702442198</v>
      </c>
      <c r="F10" s="349">
        <f>'R1'!L57</f>
        <v>22.046578975578043</v>
      </c>
      <c r="G10" s="349">
        <f>'R1'!M57</f>
        <v>214.81303600000001</v>
      </c>
      <c r="H10" s="352"/>
      <c r="I10" s="352"/>
      <c r="J10" s="351" t="e">
        <f>+'R1'!#REF!</f>
        <v>#REF!</v>
      </c>
      <c r="K10" s="351" t="e">
        <f t="shared" ref="K10:K13" si="0">SUM(I10:J10)</f>
        <v>#REF!</v>
      </c>
      <c r="L10" s="348">
        <f>'R1'!S57</f>
        <v>0</v>
      </c>
      <c r="M10" s="348">
        <f>'R1'!T57</f>
        <v>9.4043029905079472</v>
      </c>
      <c r="N10" s="348">
        <f>'R1'!U57</f>
        <v>9.4043029905079472</v>
      </c>
      <c r="Q10" s="276"/>
      <c r="R10" s="276"/>
    </row>
    <row r="11" spans="3:18">
      <c r="C11" s="95" t="s">
        <v>13</v>
      </c>
      <c r="D11" s="96" t="s">
        <v>11</v>
      </c>
      <c r="E11" s="349">
        <f>'R1'!K58</f>
        <v>14.982595684822343</v>
      </c>
      <c r="F11" s="349">
        <f>'R1'!L58</f>
        <v>25.039804315177655</v>
      </c>
      <c r="G11" s="349">
        <f>'R1'!M58</f>
        <v>40.022399999999998</v>
      </c>
      <c r="H11" s="352"/>
      <c r="I11" s="352"/>
      <c r="J11" s="351" t="e">
        <f>+'R1'!#REF!</f>
        <v>#REF!</v>
      </c>
      <c r="K11" s="351" t="e">
        <f t="shared" si="0"/>
        <v>#REF!</v>
      </c>
      <c r="L11" s="348">
        <f>'R1'!S58</f>
        <v>0</v>
      </c>
      <c r="M11" s="348">
        <f>'R1'!T58</f>
        <v>0</v>
      </c>
      <c r="N11" s="348">
        <f>'R1'!U58</f>
        <v>0</v>
      </c>
      <c r="Q11" s="276"/>
    </row>
    <row r="12" spans="3:18">
      <c r="C12" s="95" t="s">
        <v>14</v>
      </c>
      <c r="D12" s="96" t="s">
        <v>11</v>
      </c>
      <c r="E12" s="349">
        <f>'R1'!K59</f>
        <v>1.8549853330013093</v>
      </c>
      <c r="F12" s="349">
        <f>'R1'!L59</f>
        <v>115.27941466699869</v>
      </c>
      <c r="G12" s="349">
        <f>'R1'!M59</f>
        <v>117.1344</v>
      </c>
      <c r="H12" s="352"/>
      <c r="I12" s="352"/>
      <c r="J12" s="351" t="e">
        <f>+'R1'!#REF!</f>
        <v>#REF!</v>
      </c>
      <c r="K12" s="351" t="e">
        <f t="shared" si="0"/>
        <v>#REF!</v>
      </c>
      <c r="L12" s="348">
        <f>'R1'!S59</f>
        <v>-2.0759765172567022</v>
      </c>
      <c r="M12" s="348">
        <f>'R1'!T59</f>
        <v>44.277266080047028</v>
      </c>
      <c r="N12" s="348">
        <f>'R1'!U59</f>
        <v>42.201289562790322</v>
      </c>
    </row>
    <row r="13" spans="3:18">
      <c r="C13" s="95" t="s">
        <v>15</v>
      </c>
      <c r="D13" s="96" t="s">
        <v>11</v>
      </c>
      <c r="E13" s="349">
        <f>'R1'!K60</f>
        <v>2.0245359665940299</v>
      </c>
      <c r="F13" s="349">
        <f>'R1'!L60</f>
        <v>249.55786403340596</v>
      </c>
      <c r="G13" s="349">
        <f>'R1'!M60</f>
        <v>251.58240000000001</v>
      </c>
      <c r="H13" s="353" t="e">
        <f>+I13/$D$6</f>
        <v>#REF!</v>
      </c>
      <c r="I13" s="351" t="e">
        <f>+'R1'!#REF!</f>
        <v>#REF!</v>
      </c>
      <c r="J13" s="351" t="e">
        <f>+'R1'!#REF!</f>
        <v>#REF!</v>
      </c>
      <c r="K13" s="351" t="e">
        <f t="shared" si="0"/>
        <v>#REF!</v>
      </c>
      <c r="L13" s="348">
        <f>'R1'!S60</f>
        <v>3.3714408030966196</v>
      </c>
      <c r="M13" s="348">
        <f>'R1'!T60</f>
        <v>342.27313361849434</v>
      </c>
      <c r="N13" s="348">
        <f>'R1'!U60</f>
        <v>345.64457442159096</v>
      </c>
      <c r="Q13" s="403"/>
    </row>
    <row r="14" spans="3:18">
      <c r="C14" s="133" t="s">
        <v>16</v>
      </c>
      <c r="D14" s="102" t="s">
        <v>11</v>
      </c>
      <c r="E14" s="355">
        <f>'R1'!K61</f>
        <v>508.26857400883966</v>
      </c>
      <c r="F14" s="355">
        <f>'R1'!L61</f>
        <v>411.92366199116032</v>
      </c>
      <c r="G14" s="355">
        <f>'R1'!M61</f>
        <v>920.19223599999998</v>
      </c>
      <c r="H14" s="356"/>
      <c r="I14" s="355" t="e">
        <f>SUM(I8:I13)</f>
        <v>#REF!</v>
      </c>
      <c r="J14" s="355" t="e">
        <f>SUM(J8:J13)</f>
        <v>#REF!</v>
      </c>
      <c r="K14" s="357" t="e">
        <f>SUM(K8:K13)</f>
        <v>#REF!</v>
      </c>
      <c r="L14" s="355">
        <f>'R1'!S61</f>
        <v>526.99179679110284</v>
      </c>
      <c r="M14" s="355">
        <f>'R1'!T61</f>
        <v>398.96509995299806</v>
      </c>
      <c r="N14" s="355">
        <f>'R1'!U61</f>
        <v>925.95689674410085</v>
      </c>
    </row>
    <row r="15" spans="3:18">
      <c r="C15" s="103" t="s">
        <v>24</v>
      </c>
      <c r="D15" s="226"/>
      <c r="E15" s="358"/>
      <c r="F15" s="358"/>
      <c r="G15" s="362"/>
      <c r="H15" s="361"/>
      <c r="I15" s="358"/>
      <c r="J15" s="359"/>
      <c r="K15" s="362" t="e">
        <f>+K14/#REF!</f>
        <v>#REF!</v>
      </c>
      <c r="L15" s="455"/>
      <c r="M15" s="456"/>
      <c r="N15" s="394">
        <f>+N14/G14</f>
        <v>1.0062646265840705</v>
      </c>
    </row>
    <row r="16" spans="3:18" ht="4.5" customHeight="1"/>
    <row r="17" spans="3:14" ht="15.75">
      <c r="C17" s="93" t="s">
        <v>17</v>
      </c>
    </row>
    <row r="18" spans="3:14" ht="15" customHeight="1">
      <c r="C18" s="245" t="s">
        <v>7</v>
      </c>
      <c r="D18" s="241">
        <f>+'R1'!D39</f>
        <v>1081</v>
      </c>
      <c r="E18" s="446" t="s">
        <v>136</v>
      </c>
      <c r="F18" s="446"/>
      <c r="G18" s="446"/>
      <c r="L18" s="447" t="s">
        <v>137</v>
      </c>
      <c r="M18" s="448"/>
      <c r="N18" s="449"/>
    </row>
    <row r="19" spans="3:14">
      <c r="C19" s="103" t="s">
        <v>9</v>
      </c>
      <c r="D19" s="247">
        <f>+'R1'!D40</f>
        <v>10.973360421963427</v>
      </c>
      <c r="E19" s="446"/>
      <c r="F19" s="446"/>
      <c r="G19" s="446"/>
      <c r="H19" s="236"/>
      <c r="K19" s="237"/>
      <c r="L19" s="450"/>
      <c r="M19" s="451"/>
      <c r="N19" s="452"/>
    </row>
    <row r="20" spans="3:14" ht="31.5" customHeight="1">
      <c r="C20" s="103"/>
      <c r="D20" s="248"/>
      <c r="E20" s="389" t="s">
        <v>60</v>
      </c>
      <c r="F20" s="390" t="s">
        <v>61</v>
      </c>
      <c r="G20" s="389" t="s">
        <v>62</v>
      </c>
      <c r="H20" s="391" t="s">
        <v>4</v>
      </c>
      <c r="I20" s="391" t="s">
        <v>5</v>
      </c>
      <c r="J20" s="392" t="s">
        <v>2</v>
      </c>
      <c r="K20" s="393" t="s">
        <v>6</v>
      </c>
      <c r="L20" s="389" t="s">
        <v>60</v>
      </c>
      <c r="M20" s="390" t="s">
        <v>61</v>
      </c>
      <c r="N20" s="389" t="s">
        <v>62</v>
      </c>
    </row>
    <row r="21" spans="3:14">
      <c r="C21" s="95" t="s">
        <v>10</v>
      </c>
      <c r="D21" s="246" t="s">
        <v>11</v>
      </c>
      <c r="E21" s="97">
        <f>'R1'!K41</f>
        <v>296.64</v>
      </c>
      <c r="F21" s="97"/>
      <c r="G21" s="97">
        <f>'R1'!M41</f>
        <v>296.64</v>
      </c>
      <c r="H21" s="136" t="e">
        <f>+'R1'!#REF!</f>
        <v>#REF!</v>
      </c>
      <c r="I21" s="119" t="e">
        <f>+'R1'!#REF!</f>
        <v>#REF!</v>
      </c>
      <c r="J21" s="99" t="e">
        <f>+'R1'!#REF!</f>
        <v>#REF!</v>
      </c>
      <c r="K21" s="364" t="e">
        <f>SUM(I21:J21)</f>
        <v>#REF!</v>
      </c>
      <c r="L21" s="98">
        <f>'R1'!S41</f>
        <v>349.17132188263611</v>
      </c>
      <c r="M21" s="225"/>
      <c r="N21" s="225">
        <f>'R1'!U41</f>
        <v>349.17132188263611</v>
      </c>
    </row>
    <row r="22" spans="3:14">
      <c r="C22" s="95" t="s">
        <v>95</v>
      </c>
      <c r="D22" s="96" t="s">
        <v>11</v>
      </c>
      <c r="E22" s="97"/>
      <c r="F22" s="97"/>
      <c r="G22" s="97"/>
      <c r="H22" s="136"/>
      <c r="I22" s="119"/>
      <c r="J22" s="99"/>
      <c r="K22" s="364"/>
      <c r="L22" s="98">
        <f>'R1'!S42</f>
        <v>79.509806867941478</v>
      </c>
      <c r="M22" s="225">
        <f>'R1'!T42</f>
        <v>1.3559331009702473</v>
      </c>
      <c r="N22" s="225">
        <f>'R1'!U42</f>
        <v>80.865739968911726</v>
      </c>
    </row>
    <row r="23" spans="3:14">
      <c r="C23" s="95" t="s">
        <v>138</v>
      </c>
      <c r="D23" s="96" t="s">
        <v>11</v>
      </c>
      <c r="E23" s="97">
        <f>'R1'!K43</f>
        <v>92.963875853992107</v>
      </c>
      <c r="F23" s="97">
        <f>'R1'!L43</f>
        <v>9.8719081460079146</v>
      </c>
      <c r="G23" s="97">
        <f>'R1'!M43</f>
        <v>102.83578400000002</v>
      </c>
      <c r="H23" s="137"/>
      <c r="I23" s="101"/>
      <c r="J23" s="99" t="e">
        <f>+'R1'!#REF!</f>
        <v>#REF!</v>
      </c>
      <c r="K23" s="364" t="e">
        <f t="shared" ref="K23:K26" si="1">SUM(I23:J23)</f>
        <v>#REF!</v>
      </c>
      <c r="L23" s="98">
        <f>'R1'!S43</f>
        <v>0</v>
      </c>
      <c r="M23" s="225">
        <f>'R1'!T43</f>
        <v>4.2358548053079543</v>
      </c>
      <c r="N23" s="225">
        <f>'R1'!U43</f>
        <v>4.2358548053079543</v>
      </c>
    </row>
    <row r="24" spans="3:14">
      <c r="C24" s="95" t="s">
        <v>13</v>
      </c>
      <c r="D24" s="96" t="s">
        <v>11</v>
      </c>
      <c r="E24" s="97">
        <f>'R1'!K44</f>
        <v>6.748410806372064</v>
      </c>
      <c r="F24" s="97">
        <f>'R1'!L44</f>
        <v>11.278345193627937</v>
      </c>
      <c r="G24" s="97">
        <f>'R1'!M44</f>
        <v>18.026755999999999</v>
      </c>
      <c r="H24" s="137"/>
      <c r="I24" s="101"/>
      <c r="J24" s="99" t="e">
        <f>+'R1'!#REF!</f>
        <v>#REF!</v>
      </c>
      <c r="K24" s="364" t="e">
        <f t="shared" si="1"/>
        <v>#REF!</v>
      </c>
      <c r="L24" s="98">
        <f>'R1'!S44</f>
        <v>0</v>
      </c>
      <c r="M24" s="225">
        <f>'R1'!T44</f>
        <v>0</v>
      </c>
      <c r="N24" s="225">
        <f>'R1'!U44</f>
        <v>0</v>
      </c>
    </row>
    <row r="25" spans="3:14">
      <c r="C25" s="95" t="s">
        <v>14</v>
      </c>
      <c r="D25" s="96" t="s">
        <v>11</v>
      </c>
      <c r="E25" s="97">
        <f>'R1'!K45</f>
        <v>0.83551631040600649</v>
      </c>
      <c r="F25" s="97">
        <f>'R1'!L45</f>
        <v>51.923769689593996</v>
      </c>
      <c r="G25" s="97">
        <f>'R1'!M45</f>
        <v>52.759286000000003</v>
      </c>
      <c r="H25" s="137"/>
      <c r="I25" s="101"/>
      <c r="J25" s="99" t="e">
        <f>+'R1'!#REF!</f>
        <v>#REF!</v>
      </c>
      <c r="K25" s="364" t="e">
        <f t="shared" si="1"/>
        <v>#REF!</v>
      </c>
      <c r="L25" s="98">
        <f>'R1'!S45</f>
        <v>-0.93505442298103958</v>
      </c>
      <c r="M25" s="225">
        <f>'R1'!T45</f>
        <v>19.943218596887849</v>
      </c>
      <c r="N25" s="225">
        <f>'R1'!U45</f>
        <v>19.00816417390681</v>
      </c>
    </row>
    <row r="26" spans="3:14">
      <c r="C26" s="95" t="s">
        <v>15</v>
      </c>
      <c r="D26" s="96" t="s">
        <v>11</v>
      </c>
      <c r="E26" s="97">
        <f>'R1'!K46</f>
        <v>0.91188474162006095</v>
      </c>
      <c r="F26" s="97">
        <f>'R1'!L46</f>
        <v>112.40502125837993</v>
      </c>
      <c r="G26" s="97">
        <f>'R1'!M46</f>
        <v>113.31690599999999</v>
      </c>
      <c r="H26" s="138" t="e">
        <f>+I26/$D$18</f>
        <v>#REF!</v>
      </c>
      <c r="I26" s="99" t="e">
        <f>+'R1'!#REF!</f>
        <v>#REF!</v>
      </c>
      <c r="J26" s="99" t="e">
        <f>+'R1'!#REF!</f>
        <v>#REF!</v>
      </c>
      <c r="K26" s="364" t="e">
        <f t="shared" si="1"/>
        <v>#REF!</v>
      </c>
      <c r="L26" s="98">
        <f>'R1'!S46</f>
        <v>1.5185531283947691</v>
      </c>
      <c r="M26" s="225">
        <f>'R1'!T46</f>
        <v>154.16552393399684</v>
      </c>
      <c r="N26" s="225">
        <f>'R1'!U46</f>
        <v>155.68407706239159</v>
      </c>
    </row>
    <row r="27" spans="3:14">
      <c r="C27" s="103" t="s">
        <v>16</v>
      </c>
      <c r="D27" s="96" t="s">
        <v>11</v>
      </c>
      <c r="E27" s="104">
        <f>'R1'!K47</f>
        <v>398.09968771239022</v>
      </c>
      <c r="F27" s="104">
        <f>'R1'!L47</f>
        <v>185.47904428760978</v>
      </c>
      <c r="G27" s="104">
        <f>'R1'!M47</f>
        <v>583.57873199999995</v>
      </c>
      <c r="H27" s="137"/>
      <c r="I27" s="104" t="e">
        <f>SUM(I21:I26)</f>
        <v>#REF!</v>
      </c>
      <c r="J27" s="104" t="e">
        <f>SUM(J21:J26)</f>
        <v>#REF!</v>
      </c>
      <c r="K27" s="105" t="e">
        <f>SUM(K21:K26)</f>
        <v>#REF!</v>
      </c>
      <c r="L27" s="104">
        <f>'R1'!S47</f>
        <v>429.26462745599139</v>
      </c>
      <c r="M27" s="104">
        <f>'R1'!T47</f>
        <v>179.70053043716288</v>
      </c>
      <c r="N27" s="104">
        <f>'R1'!U47</f>
        <v>608.96515789315424</v>
      </c>
    </row>
    <row r="28" spans="3:14">
      <c r="C28" s="103" t="s">
        <v>24</v>
      </c>
      <c r="D28" s="231"/>
      <c r="E28" s="232"/>
      <c r="F28" s="232"/>
      <c r="G28" s="238"/>
      <c r="H28" s="232"/>
      <c r="I28" s="232"/>
      <c r="J28" s="233"/>
      <c r="K28" s="135" t="e">
        <f>+K27/#REF!</f>
        <v>#REF!</v>
      </c>
      <c r="L28" s="444"/>
      <c r="M28" s="445"/>
      <c r="N28" s="135">
        <f>+N27/G27</f>
        <v>1.0435012869748554</v>
      </c>
    </row>
    <row r="29" spans="3:14" ht="8.25" customHeight="1"/>
    <row r="30" spans="3:14" ht="15.75">
      <c r="C30" s="93" t="s">
        <v>18</v>
      </c>
    </row>
    <row r="31" spans="3:14" ht="15" customHeight="1">
      <c r="C31" s="245" t="s">
        <v>7</v>
      </c>
      <c r="D31" s="241">
        <f>+'R1'!D25</f>
        <v>5048</v>
      </c>
      <c r="E31" s="446" t="s">
        <v>136</v>
      </c>
      <c r="F31" s="446"/>
      <c r="G31" s="446"/>
      <c r="L31" s="447" t="s">
        <v>137</v>
      </c>
      <c r="M31" s="448"/>
      <c r="N31" s="449"/>
    </row>
    <row r="32" spans="3:14" ht="15.75" customHeight="1">
      <c r="C32" s="103" t="s">
        <v>9</v>
      </c>
      <c r="D32" s="247">
        <f>+'R1'!D26</f>
        <v>51.242852368243646</v>
      </c>
      <c r="E32" s="446"/>
      <c r="F32" s="446"/>
      <c r="G32" s="446"/>
      <c r="H32" s="236"/>
      <c r="K32" s="237"/>
      <c r="L32" s="450"/>
      <c r="M32" s="451"/>
      <c r="N32" s="452"/>
    </row>
    <row r="33" spans="3:14" ht="30.75" customHeight="1">
      <c r="C33" s="103"/>
      <c r="D33" s="248"/>
      <c r="E33" s="389" t="s">
        <v>60</v>
      </c>
      <c r="F33" s="390" t="s">
        <v>61</v>
      </c>
      <c r="G33" s="389" t="s">
        <v>62</v>
      </c>
      <c r="H33" s="391" t="s">
        <v>4</v>
      </c>
      <c r="I33" s="391" t="s">
        <v>5</v>
      </c>
      <c r="J33" s="392" t="s">
        <v>2</v>
      </c>
      <c r="K33" s="393" t="s">
        <v>6</v>
      </c>
      <c r="L33" s="389" t="s">
        <v>60</v>
      </c>
      <c r="M33" s="390" t="s">
        <v>61</v>
      </c>
      <c r="N33" s="389" t="s">
        <v>62</v>
      </c>
    </row>
    <row r="34" spans="3:14">
      <c r="C34" s="95" t="s">
        <v>10</v>
      </c>
      <c r="D34" s="96" t="s">
        <v>11</v>
      </c>
      <c r="E34" s="97">
        <f>'R1'!K27</f>
        <v>296.64</v>
      </c>
      <c r="F34" s="97"/>
      <c r="G34" s="97">
        <f>'R1'!M27</f>
        <v>296.64</v>
      </c>
      <c r="H34" s="136" t="e">
        <f>+'R1'!#REF!</f>
        <v>#REF!</v>
      </c>
      <c r="I34" s="119" t="e">
        <f>+'R1'!#REF!</f>
        <v>#REF!</v>
      </c>
      <c r="J34" s="99" t="e">
        <f>+'R1'!#REF!</f>
        <v>#REF!</v>
      </c>
      <c r="K34" s="99" t="e">
        <f>SUM(I34:J34)</f>
        <v>#REF!</v>
      </c>
      <c r="L34" s="98">
        <f>'R1'!S27</f>
        <v>349.17132188263611</v>
      </c>
      <c r="M34" s="98"/>
      <c r="N34" s="98">
        <f>'R1'!U27</f>
        <v>349.17132188263611</v>
      </c>
    </row>
    <row r="35" spans="3:14">
      <c r="C35" s="95" t="s">
        <v>95</v>
      </c>
      <c r="D35" s="96" t="s">
        <v>11</v>
      </c>
      <c r="E35" s="97"/>
      <c r="F35" s="97"/>
      <c r="G35" s="97"/>
      <c r="H35" s="136"/>
      <c r="I35" s="119"/>
      <c r="J35" s="99"/>
      <c r="K35" s="99"/>
      <c r="L35" s="98">
        <f>'R1'!S28</f>
        <v>371.29093900959168</v>
      </c>
      <c r="M35" s="98">
        <f>'R1'!T28</f>
        <v>6.3318689118388614</v>
      </c>
      <c r="N35" s="98">
        <f>'R1'!U28</f>
        <v>377.62280792143054</v>
      </c>
    </row>
    <row r="36" spans="3:14">
      <c r="C36" s="95" t="s">
        <v>138</v>
      </c>
      <c r="D36" s="96" t="s">
        <v>11</v>
      </c>
      <c r="E36" s="97">
        <f>'R1'!K29</f>
        <v>393.2902868513691</v>
      </c>
      <c r="F36" s="97">
        <f>'R1'!L29</f>
        <v>46.486633148630901</v>
      </c>
      <c r="G36" s="97">
        <f>'R1'!M29</f>
        <v>439.77692000000002</v>
      </c>
      <c r="H36" s="101"/>
      <c r="I36" s="101"/>
      <c r="J36" s="99" t="e">
        <f>+'R1'!#REF!</f>
        <v>#REF!</v>
      </c>
      <c r="K36" s="99" t="e">
        <f t="shared" ref="K36:K39" si="2">SUM(I36:J36)</f>
        <v>#REF!</v>
      </c>
      <c r="L36" s="98">
        <f>'R1'!S29</f>
        <v>0</v>
      </c>
      <c r="M36" s="98">
        <f>'R1'!T29</f>
        <v>19.780383956701712</v>
      </c>
      <c r="N36" s="98">
        <f>'R1'!U29</f>
        <v>19.780383956701712</v>
      </c>
    </row>
    <row r="37" spans="3:14">
      <c r="C37" s="95" t="s">
        <v>13</v>
      </c>
      <c r="D37" s="96" t="s">
        <v>11</v>
      </c>
      <c r="E37" s="97">
        <f>'R1'!K30</f>
        <v>31.513392923742995</v>
      </c>
      <c r="F37" s="97">
        <f>'R1'!L30</f>
        <v>52.667055076257007</v>
      </c>
      <c r="G37" s="97">
        <f>'R1'!M30</f>
        <v>84.180447999999998</v>
      </c>
      <c r="H37" s="101"/>
      <c r="I37" s="101"/>
      <c r="J37" s="99" t="e">
        <f>+'R1'!#REF!</f>
        <v>#REF!</v>
      </c>
      <c r="K37" s="99" t="e">
        <f t="shared" si="2"/>
        <v>#REF!</v>
      </c>
      <c r="L37" s="98">
        <f>'R1'!S30</f>
        <v>0</v>
      </c>
      <c r="M37" s="98">
        <f>'R1'!T30</f>
        <v>0</v>
      </c>
      <c r="N37" s="98">
        <f>'R1'!U30</f>
        <v>0</v>
      </c>
    </row>
    <row r="38" spans="3:14">
      <c r="C38" s="95" t="s">
        <v>14</v>
      </c>
      <c r="D38" s="96" t="s">
        <v>11</v>
      </c>
      <c r="E38" s="97">
        <f>'R1'!K31</f>
        <v>3.9016524837460875</v>
      </c>
      <c r="F38" s="97">
        <f>'R1'!L31</f>
        <v>242.47103551625392</v>
      </c>
      <c r="G38" s="97">
        <f>'R1'!M31</f>
        <v>246.37268800000001</v>
      </c>
      <c r="H38" s="101"/>
      <c r="I38" s="101"/>
      <c r="J38" s="99" t="e">
        <f>+'R1'!#REF!</f>
        <v>#REF!</v>
      </c>
      <c r="K38" s="99" t="e">
        <f t="shared" si="2"/>
        <v>#REF!</v>
      </c>
      <c r="L38" s="98">
        <f>'R1'!S31</f>
        <v>-4.3664706079632634</v>
      </c>
      <c r="M38" s="98">
        <f>'R1'!T31</f>
        <v>93.129849655032245</v>
      </c>
      <c r="N38" s="98">
        <f>'R1'!U31</f>
        <v>88.76337904706898</v>
      </c>
    </row>
    <row r="39" spans="3:14">
      <c r="C39" s="95" t="s">
        <v>15</v>
      </c>
      <c r="D39" s="96" t="s">
        <v>11</v>
      </c>
      <c r="E39" s="97">
        <f>'R1'!K32</f>
        <v>4.2582739830694427</v>
      </c>
      <c r="F39" s="97">
        <f>'R1'!L32</f>
        <v>524.90337401693057</v>
      </c>
      <c r="G39" s="97">
        <f>'R1'!M32</f>
        <v>529.16164800000001</v>
      </c>
      <c r="H39" s="100" t="e">
        <f>+I39/$D$31</f>
        <v>#REF!</v>
      </c>
      <c r="I39" s="99" t="e">
        <f>+'R1'!#REF!</f>
        <v>#REF!</v>
      </c>
      <c r="J39" s="99" t="e">
        <f>+'R1'!#REF!</f>
        <v>#REF!</v>
      </c>
      <c r="K39" s="99" t="e">
        <f t="shared" si="2"/>
        <v>#REF!</v>
      </c>
      <c r="L39" s="98">
        <f>'R1'!S32</f>
        <v>7.0912638225132234</v>
      </c>
      <c r="M39" s="98">
        <f>'R1'!T32</f>
        <v>719.91449104423316</v>
      </c>
      <c r="N39" s="98">
        <f>'R1'!U32</f>
        <v>727.00575486674643</v>
      </c>
    </row>
    <row r="40" spans="3:14">
      <c r="C40" s="103" t="s">
        <v>16</v>
      </c>
      <c r="D40" s="96" t="s">
        <v>11</v>
      </c>
      <c r="E40" s="104">
        <f>'R1'!K33</f>
        <v>729.60360624192765</v>
      </c>
      <c r="F40" s="104">
        <f>'R1'!L33</f>
        <v>866.52809775807236</v>
      </c>
      <c r="G40" s="104">
        <f>'R1'!M33</f>
        <v>1596.1317039999999</v>
      </c>
      <c r="H40" s="101"/>
      <c r="I40" s="104" t="e">
        <f>SUM(I34:I39)</f>
        <v>#REF!</v>
      </c>
      <c r="J40" s="104" t="e">
        <f>SUM(J34:J39)</f>
        <v>#REF!</v>
      </c>
      <c r="K40" s="105" t="e">
        <f>SUM(K34:K39)</f>
        <v>#REF!</v>
      </c>
      <c r="L40" s="104">
        <f>'R1'!S33</f>
        <v>723.18705410677774</v>
      </c>
      <c r="M40" s="104">
        <f>'R1'!T33</f>
        <v>839.156593567806</v>
      </c>
      <c r="N40" s="104">
        <f>'R1'!U33</f>
        <v>1562.3436476745837</v>
      </c>
    </row>
    <row r="41" spans="3:14">
      <c r="C41" s="103" t="s">
        <v>24</v>
      </c>
      <c r="D41" s="231"/>
      <c r="E41" s="232"/>
      <c r="F41" s="232"/>
      <c r="G41" s="238"/>
      <c r="H41" s="232"/>
      <c r="I41" s="232"/>
      <c r="J41" s="233"/>
      <c r="K41" s="135" t="e">
        <f>+K40/#REF!</f>
        <v>#REF!</v>
      </c>
      <c r="L41" s="444"/>
      <c r="M41" s="445"/>
      <c r="N41" s="135">
        <f>+N40/G40</f>
        <v>0.9788312855131307</v>
      </c>
    </row>
    <row r="46" spans="3:14" ht="18.75">
      <c r="C46" s="107" t="s">
        <v>25</v>
      </c>
    </row>
    <row r="47" spans="3:14" ht="15.75">
      <c r="E47" s="453"/>
      <c r="F47" s="453"/>
      <c r="G47" s="453"/>
      <c r="H47" s="453"/>
      <c r="I47" s="453"/>
      <c r="J47" s="453"/>
      <c r="K47" s="453"/>
      <c r="L47" s="454"/>
      <c r="M47" s="454"/>
      <c r="N47" s="454"/>
    </row>
    <row r="48" spans="3:14" ht="15.75">
      <c r="C48" s="94" t="s">
        <v>20</v>
      </c>
      <c r="D48" s="84"/>
      <c r="E48" s="228"/>
      <c r="F48" s="229"/>
      <c r="G48" s="228"/>
      <c r="H48" s="86"/>
      <c r="I48" s="86"/>
      <c r="J48" s="84"/>
      <c r="K48" s="85"/>
      <c r="L48" s="228"/>
      <c r="M48" s="229"/>
      <c r="N48" s="228"/>
    </row>
    <row r="49" spans="3:14">
      <c r="C49" s="245" t="s">
        <v>7</v>
      </c>
      <c r="D49" s="241">
        <f>+D5</f>
        <v>2400</v>
      </c>
      <c r="E49" s="446" t="s">
        <v>136</v>
      </c>
      <c r="F49" s="446"/>
      <c r="G49" s="446"/>
      <c r="L49" s="447" t="s">
        <v>137</v>
      </c>
      <c r="M49" s="448"/>
      <c r="N49" s="449"/>
    </row>
    <row r="50" spans="3:14">
      <c r="C50" s="103" t="s">
        <v>9</v>
      </c>
      <c r="D50" s="247">
        <f>+D6</f>
        <v>24.362687338309179</v>
      </c>
      <c r="E50" s="446"/>
      <c r="F50" s="446"/>
      <c r="G50" s="446"/>
      <c r="H50" s="236"/>
      <c r="K50" s="237"/>
      <c r="L50" s="450"/>
      <c r="M50" s="451"/>
      <c r="N50" s="452"/>
    </row>
    <row r="51" spans="3:14" ht="35.25" customHeight="1">
      <c r="C51" s="103"/>
      <c r="D51" s="247"/>
      <c r="E51" s="389" t="s">
        <v>60</v>
      </c>
      <c r="F51" s="390" t="s">
        <v>61</v>
      </c>
      <c r="G51" s="389" t="s">
        <v>62</v>
      </c>
      <c r="H51" s="391" t="s">
        <v>4</v>
      </c>
      <c r="I51" s="391" t="s">
        <v>5</v>
      </c>
      <c r="J51" s="392" t="s">
        <v>2</v>
      </c>
      <c r="K51" s="393" t="s">
        <v>6</v>
      </c>
      <c r="L51" s="389" t="s">
        <v>60</v>
      </c>
      <c r="M51" s="390" t="s">
        <v>61</v>
      </c>
      <c r="N51" s="389" t="s">
        <v>62</v>
      </c>
    </row>
    <row r="52" spans="3:14">
      <c r="C52" s="95" t="s">
        <v>10</v>
      </c>
      <c r="D52" s="96" t="s">
        <v>11</v>
      </c>
      <c r="E52" s="98">
        <f>'R1'!K55</f>
        <v>296.64</v>
      </c>
      <c r="F52" s="98"/>
      <c r="G52" s="98">
        <f>'R1'!M55</f>
        <v>296.64</v>
      </c>
      <c r="H52" s="136"/>
      <c r="I52" s="119"/>
      <c r="J52" s="99"/>
      <c r="K52" s="141"/>
      <c r="L52" s="225">
        <f>'R1'!S55</f>
        <v>349.17132188263611</v>
      </c>
      <c r="M52" s="225"/>
      <c r="N52" s="225">
        <f>'R1'!U55</f>
        <v>349.17132188263611</v>
      </c>
    </row>
    <row r="53" spans="3:14">
      <c r="C53" s="95" t="s">
        <v>95</v>
      </c>
      <c r="D53" s="96" t="s">
        <v>11</v>
      </c>
      <c r="E53" s="98"/>
      <c r="F53" s="98"/>
      <c r="G53" s="98"/>
      <c r="H53" s="136"/>
      <c r="I53" s="119"/>
      <c r="J53" s="99"/>
      <c r="K53" s="141"/>
      <c r="L53" s="225">
        <f>'R1'!S56</f>
        <v>176.52501062262675</v>
      </c>
      <c r="M53" s="225">
        <f>'R1'!T56</f>
        <v>3.0103972639487453</v>
      </c>
      <c r="N53" s="225">
        <f>'R1'!U56</f>
        <v>179.53540788657548</v>
      </c>
    </row>
    <row r="54" spans="3:14">
      <c r="C54" s="95" t="s">
        <v>138</v>
      </c>
      <c r="D54" s="96" t="s">
        <v>11</v>
      </c>
      <c r="E54" s="98">
        <f>'R1'!K57</f>
        <v>192.76645702442198</v>
      </c>
      <c r="F54" s="98">
        <f>'R1'!L57</f>
        <v>22.046578975578043</v>
      </c>
      <c r="G54" s="98">
        <f>'R1'!M57</f>
        <v>214.81303600000001</v>
      </c>
      <c r="H54" s="137"/>
      <c r="I54" s="101"/>
      <c r="J54" s="99"/>
      <c r="K54" s="141"/>
      <c r="L54" s="225">
        <f>'R1'!S57</f>
        <v>0</v>
      </c>
      <c r="M54" s="225">
        <f>'R1'!T57</f>
        <v>9.4043029905079472</v>
      </c>
      <c r="N54" s="225">
        <f>'R1'!U57</f>
        <v>9.4043029905079472</v>
      </c>
    </row>
    <row r="55" spans="3:14">
      <c r="C55" s="95" t="s">
        <v>13</v>
      </c>
      <c r="D55" s="96" t="s">
        <v>11</v>
      </c>
      <c r="E55" s="98">
        <f>'R1'!K58</f>
        <v>14.982595684822343</v>
      </c>
      <c r="F55" s="98">
        <f>'R1'!L58</f>
        <v>25.039804315177655</v>
      </c>
      <c r="G55" s="98">
        <f>'R1'!M58</f>
        <v>40.022399999999998</v>
      </c>
      <c r="H55" s="137"/>
      <c r="I55" s="101"/>
      <c r="J55" s="99"/>
      <c r="K55" s="141"/>
      <c r="L55" s="225">
        <f>'R1'!S58</f>
        <v>0</v>
      </c>
      <c r="M55" s="225">
        <f>'R1'!T58</f>
        <v>0</v>
      </c>
      <c r="N55" s="225">
        <f>'R1'!U58</f>
        <v>0</v>
      </c>
    </row>
    <row r="56" spans="3:14">
      <c r="C56" s="95" t="s">
        <v>14</v>
      </c>
      <c r="D56" s="96" t="s">
        <v>11</v>
      </c>
      <c r="E56" s="98">
        <f>'R1'!K59</f>
        <v>1.8549853330013093</v>
      </c>
      <c r="F56" s="98">
        <f>'R1'!L59</f>
        <v>115.27941466699869</v>
      </c>
      <c r="G56" s="98">
        <f>'R1'!M59</f>
        <v>117.1344</v>
      </c>
      <c r="H56" s="137"/>
      <c r="I56" s="101"/>
      <c r="J56" s="99"/>
      <c r="K56" s="141"/>
      <c r="L56" s="225">
        <f>'R1'!S59</f>
        <v>-2.0759765172567022</v>
      </c>
      <c r="M56" s="225">
        <f>'R1'!T59</f>
        <v>44.277266080047028</v>
      </c>
      <c r="N56" s="225">
        <f>'R1'!U59</f>
        <v>42.201289562790322</v>
      </c>
    </row>
    <row r="57" spans="3:14">
      <c r="C57" s="95" t="s">
        <v>15</v>
      </c>
      <c r="D57" s="96" t="s">
        <v>11</v>
      </c>
      <c r="E57" s="98">
        <f>'R1'!K60</f>
        <v>2.0245359665940299</v>
      </c>
      <c r="F57" s="98">
        <f>'R1'!L60</f>
        <v>249.55786403340596</v>
      </c>
      <c r="G57" s="98">
        <f>'R1'!M60</f>
        <v>251.58240000000001</v>
      </c>
      <c r="H57" s="138"/>
      <c r="I57" s="99"/>
      <c r="J57" s="99"/>
      <c r="K57" s="141"/>
      <c r="L57" s="225">
        <f>'R1'!S60</f>
        <v>3.3714408030966196</v>
      </c>
      <c r="M57" s="225">
        <f>'R1'!T60</f>
        <v>342.27313361849434</v>
      </c>
      <c r="N57" s="225">
        <f>'R1'!U60</f>
        <v>345.64457442159096</v>
      </c>
    </row>
    <row r="58" spans="3:14">
      <c r="C58" s="103" t="s">
        <v>16</v>
      </c>
      <c r="D58" s="96" t="s">
        <v>11</v>
      </c>
      <c r="E58" s="134">
        <f>'R1'!K61</f>
        <v>508.26857400883966</v>
      </c>
      <c r="F58" s="134">
        <f>'R1'!L61</f>
        <v>411.92366199116032</v>
      </c>
      <c r="G58" s="134">
        <f>'R1'!M61</f>
        <v>920.19223599999998</v>
      </c>
      <c r="H58" s="139"/>
      <c r="I58" s="134"/>
      <c r="J58" s="134"/>
      <c r="K58" s="140"/>
      <c r="L58" s="134">
        <f>'R1'!S61</f>
        <v>526.99179679110284</v>
      </c>
      <c r="M58" s="134">
        <f>'R1'!T61</f>
        <v>398.96509995299806</v>
      </c>
      <c r="N58" s="134">
        <f>'R1'!U61</f>
        <v>925.95689674410085</v>
      </c>
    </row>
    <row r="59" spans="3:14">
      <c r="C59" s="103" t="s">
        <v>24</v>
      </c>
      <c r="D59" s="231"/>
      <c r="E59" s="232"/>
      <c r="F59" s="232"/>
      <c r="G59" s="135"/>
      <c r="H59" s="232"/>
      <c r="I59" s="232"/>
      <c r="J59" s="233"/>
      <c r="K59" s="135" t="e">
        <f>+K58/#REF!</f>
        <v>#REF!</v>
      </c>
      <c r="L59" s="444"/>
      <c r="M59" s="445"/>
      <c r="N59" s="135">
        <f>+N58/G58</f>
        <v>1.0062646265840705</v>
      </c>
    </row>
    <row r="60" spans="3:14" ht="6.75" customHeight="1"/>
    <row r="61" spans="3:14" ht="15.75">
      <c r="C61" s="94" t="s">
        <v>21</v>
      </c>
    </row>
    <row r="62" spans="3:14" ht="15" customHeight="1">
      <c r="C62" s="245" t="s">
        <v>7</v>
      </c>
      <c r="D62" s="241">
        <f>+'R1'!D69</f>
        <v>2400</v>
      </c>
      <c r="E62" s="446" t="s">
        <v>136</v>
      </c>
      <c r="F62" s="446"/>
      <c r="G62" s="446"/>
      <c r="L62" s="447" t="s">
        <v>137</v>
      </c>
      <c r="M62" s="448"/>
      <c r="N62" s="449"/>
    </row>
    <row r="63" spans="3:14">
      <c r="C63" s="103" t="s">
        <v>9</v>
      </c>
      <c r="D63" s="247">
        <f>+'R1'!D70</f>
        <v>50.620843606342127</v>
      </c>
      <c r="E63" s="446"/>
      <c r="F63" s="446"/>
      <c r="G63" s="446"/>
      <c r="H63" s="236"/>
      <c r="K63" s="237"/>
      <c r="L63" s="450"/>
      <c r="M63" s="451"/>
      <c r="N63" s="452"/>
    </row>
    <row r="64" spans="3:14" ht="45">
      <c r="C64" s="103"/>
      <c r="D64" s="247"/>
      <c r="E64" s="389" t="s">
        <v>60</v>
      </c>
      <c r="F64" s="390" t="s">
        <v>61</v>
      </c>
      <c r="G64" s="389" t="s">
        <v>62</v>
      </c>
      <c r="H64" s="391" t="s">
        <v>4</v>
      </c>
      <c r="I64" s="391" t="s">
        <v>5</v>
      </c>
      <c r="J64" s="392" t="s">
        <v>2</v>
      </c>
      <c r="K64" s="393" t="s">
        <v>6</v>
      </c>
      <c r="L64" s="389" t="s">
        <v>60</v>
      </c>
      <c r="M64" s="390" t="s">
        <v>61</v>
      </c>
      <c r="N64" s="389" t="s">
        <v>62</v>
      </c>
    </row>
    <row r="65" spans="3:14">
      <c r="C65" s="95" t="s">
        <v>10</v>
      </c>
      <c r="D65" s="96" t="s">
        <v>11</v>
      </c>
      <c r="E65" s="97">
        <f>'R1'!K71</f>
        <v>296.64</v>
      </c>
      <c r="F65" s="97"/>
      <c r="G65" s="97">
        <f>'R1'!M71</f>
        <v>296.64</v>
      </c>
      <c r="H65" s="136" t="e">
        <f>+'R1'!#REF!</f>
        <v>#REF!</v>
      </c>
      <c r="I65" s="119" t="e">
        <f>+'R1'!#REF!</f>
        <v>#REF!</v>
      </c>
      <c r="J65" s="99" t="e">
        <f>+'R1'!#REF!</f>
        <v>#REF!</v>
      </c>
      <c r="K65" s="99" t="e">
        <f>SUM(I65:J65)</f>
        <v>#REF!</v>
      </c>
      <c r="L65" s="98">
        <f>'R1'!S71</f>
        <v>349.17132188263611</v>
      </c>
      <c r="M65" s="98"/>
      <c r="N65" s="98">
        <f>'R1'!U71</f>
        <v>349.17132188263611</v>
      </c>
    </row>
    <row r="66" spans="3:14">
      <c r="C66" s="95" t="s">
        <v>95</v>
      </c>
      <c r="D66" s="96" t="s">
        <v>11</v>
      </c>
      <c r="E66" s="97"/>
      <c r="F66" s="97"/>
      <c r="G66" s="97"/>
      <c r="H66" s="136"/>
      <c r="I66" s="119"/>
      <c r="J66" s="99"/>
      <c r="K66" s="99"/>
      <c r="L66" s="98">
        <f>'R1'!S72</f>
        <v>366.78404279665307</v>
      </c>
      <c r="M66" s="98">
        <f>'R1'!T72</f>
        <v>6.2550098425178806</v>
      </c>
      <c r="N66" s="98">
        <f>'R1'!U72</f>
        <v>373.03905263917096</v>
      </c>
    </row>
    <row r="67" spans="3:14">
      <c r="C67" s="95" t="s">
        <v>138</v>
      </c>
      <c r="D67" s="96" t="s">
        <v>11</v>
      </c>
      <c r="E67" s="97">
        <f>'R1'!K73</f>
        <v>192.76645702442198</v>
      </c>
      <c r="F67" s="97">
        <f>'R1'!L73</f>
        <v>22.046578975578043</v>
      </c>
      <c r="G67" s="97">
        <f>'R1'!M73</f>
        <v>214.81303600000001</v>
      </c>
      <c r="H67" s="101"/>
      <c r="I67" s="101"/>
      <c r="J67" s="99" t="e">
        <f>+'R1'!#REF!</f>
        <v>#REF!</v>
      </c>
      <c r="K67" s="99" t="e">
        <f t="shared" ref="K67:K70" si="3">SUM(I67:J67)</f>
        <v>#REF!</v>
      </c>
      <c r="L67" s="98">
        <f>'R1'!S73</f>
        <v>0</v>
      </c>
      <c r="M67" s="98">
        <f>'R1'!T73</f>
        <v>9.4043029905079472</v>
      </c>
      <c r="N67" s="98">
        <f>'R1'!U73</f>
        <v>9.4043029905079472</v>
      </c>
    </row>
    <row r="68" spans="3:14">
      <c r="C68" s="95" t="s">
        <v>13</v>
      </c>
      <c r="D68" s="96" t="s">
        <v>11</v>
      </c>
      <c r="E68" s="97">
        <f>'R1'!K74</f>
        <v>14.982595684822343</v>
      </c>
      <c r="F68" s="97">
        <f>'R1'!L74</f>
        <v>25.039804315177655</v>
      </c>
      <c r="G68" s="97">
        <f>'R1'!M74</f>
        <v>40.022399999999998</v>
      </c>
      <c r="H68" s="101"/>
      <c r="I68" s="101"/>
      <c r="J68" s="99" t="e">
        <f>+'R1'!#REF!</f>
        <v>#REF!</v>
      </c>
      <c r="K68" s="99" t="e">
        <f t="shared" si="3"/>
        <v>#REF!</v>
      </c>
      <c r="L68" s="98">
        <f>'R1'!S74</f>
        <v>0</v>
      </c>
      <c r="M68" s="98">
        <f>'R1'!T74</f>
        <v>0</v>
      </c>
      <c r="N68" s="98">
        <f>'R1'!U74</f>
        <v>0</v>
      </c>
    </row>
    <row r="69" spans="3:14">
      <c r="C69" s="95" t="s">
        <v>14</v>
      </c>
      <c r="D69" s="96" t="s">
        <v>11</v>
      </c>
      <c r="E69" s="97">
        <f>'R1'!K75</f>
        <v>1.8549853330013093</v>
      </c>
      <c r="F69" s="97">
        <f>'R1'!L75</f>
        <v>115.27941466699869</v>
      </c>
      <c r="G69" s="97">
        <f>'R1'!M75</f>
        <v>117.1344</v>
      </c>
      <c r="H69" s="101"/>
      <c r="I69" s="101"/>
      <c r="J69" s="99" t="e">
        <f>+'R1'!#REF!</f>
        <v>#REF!</v>
      </c>
      <c r="K69" s="99" t="e">
        <f t="shared" si="3"/>
        <v>#REF!</v>
      </c>
      <c r="L69" s="98">
        <f>'R1'!S75</f>
        <v>-2.0759765172567022</v>
      </c>
      <c r="M69" s="98">
        <f>'R1'!T75</f>
        <v>44.277266080047028</v>
      </c>
      <c r="N69" s="98">
        <f>'R1'!U75</f>
        <v>42.201289562790322</v>
      </c>
    </row>
    <row r="70" spans="3:14">
      <c r="C70" s="95" t="s">
        <v>15</v>
      </c>
      <c r="D70" s="96" t="s">
        <v>11</v>
      </c>
      <c r="E70" s="97">
        <f>'R1'!K76</f>
        <v>2.0245359665940299</v>
      </c>
      <c r="F70" s="97">
        <f>'R1'!L76</f>
        <v>249.55786403340596</v>
      </c>
      <c r="G70" s="97">
        <f>'R1'!M76</f>
        <v>251.58240000000001</v>
      </c>
      <c r="H70" s="100" t="e">
        <f>+I70/$D$62</f>
        <v>#REF!</v>
      </c>
      <c r="I70" s="99" t="e">
        <f>+'R1'!#REF!</f>
        <v>#REF!</v>
      </c>
      <c r="J70" s="99" t="e">
        <f>+'R1'!#REF!</f>
        <v>#REF!</v>
      </c>
      <c r="K70" s="99" t="e">
        <f t="shared" si="3"/>
        <v>#REF!</v>
      </c>
      <c r="L70" s="98">
        <f>'R1'!S76</f>
        <v>3.3714408030966196</v>
      </c>
      <c r="M70" s="98">
        <f>'R1'!T76</f>
        <v>342.27313361849434</v>
      </c>
      <c r="N70" s="98">
        <f>'R1'!U76</f>
        <v>345.64457442159096</v>
      </c>
    </row>
    <row r="71" spans="3:14">
      <c r="C71" s="103" t="s">
        <v>16</v>
      </c>
      <c r="D71" s="96" t="s">
        <v>11</v>
      </c>
      <c r="E71" s="142">
        <f>'R1'!K77</f>
        <v>508.26857400883966</v>
      </c>
      <c r="F71" s="142">
        <f>'R1'!L77</f>
        <v>411.92366199116032</v>
      </c>
      <c r="G71" s="142">
        <f>'R1'!M77</f>
        <v>920.19223599999998</v>
      </c>
      <c r="H71" s="101"/>
      <c r="I71" s="104" t="e">
        <f>SUM(I65:I70)</f>
        <v>#REF!</v>
      </c>
      <c r="J71" s="104" t="e">
        <f>SUM(J65:J70)</f>
        <v>#REF!</v>
      </c>
      <c r="K71" s="104" t="e">
        <f>SUM(K65:K70)</f>
        <v>#REF!</v>
      </c>
      <c r="L71" s="104">
        <f>'R1'!S77</f>
        <v>717.25082896512924</v>
      </c>
      <c r="M71" s="104">
        <f>'R1'!T77</f>
        <v>402.20971253156722</v>
      </c>
      <c r="N71" s="104">
        <f>'R1'!U77</f>
        <v>1119.4605414966964</v>
      </c>
    </row>
    <row r="72" spans="3:14">
      <c r="C72" s="103" t="s">
        <v>24</v>
      </c>
      <c r="D72" s="231"/>
      <c r="E72" s="232"/>
      <c r="F72" s="232"/>
      <c r="G72" s="135"/>
      <c r="H72" s="232"/>
      <c r="I72" s="232"/>
      <c r="J72" s="233"/>
      <c r="K72" s="135" t="e">
        <f>+K71/#REF!</f>
        <v>#REF!</v>
      </c>
      <c r="L72" s="444"/>
      <c r="M72" s="445"/>
      <c r="N72" s="135">
        <f>+N71/G71</f>
        <v>1.2165507354885967</v>
      </c>
    </row>
    <row r="73" spans="3:14" ht="7.5" customHeight="1"/>
    <row r="74" spans="3:14" ht="15.75">
      <c r="C74" s="94" t="s">
        <v>22</v>
      </c>
    </row>
    <row r="75" spans="3:14" ht="15" customHeight="1">
      <c r="C75" s="245" t="s">
        <v>7</v>
      </c>
      <c r="D75" s="241">
        <f>+'R1'!D83</f>
        <v>2400</v>
      </c>
      <c r="E75" s="446" t="s">
        <v>136</v>
      </c>
      <c r="F75" s="446"/>
      <c r="G75" s="446"/>
      <c r="L75" s="447" t="s">
        <v>137</v>
      </c>
      <c r="M75" s="448"/>
      <c r="N75" s="449"/>
    </row>
    <row r="76" spans="3:14">
      <c r="C76" s="103" t="s">
        <v>9</v>
      </c>
      <c r="D76" s="247">
        <f>+'R1'!D84</f>
        <v>16.041569057843905</v>
      </c>
      <c r="E76" s="446"/>
      <c r="F76" s="446"/>
      <c r="G76" s="446"/>
      <c r="H76" s="236"/>
      <c r="K76" s="237"/>
      <c r="L76" s="450"/>
      <c r="M76" s="451"/>
      <c r="N76" s="452"/>
    </row>
    <row r="77" spans="3:14" ht="31.5" customHeight="1">
      <c r="C77" s="103"/>
      <c r="D77" s="247"/>
      <c r="E77" s="389" t="s">
        <v>60</v>
      </c>
      <c r="F77" s="390" t="s">
        <v>61</v>
      </c>
      <c r="G77" s="389" t="s">
        <v>62</v>
      </c>
      <c r="H77" s="391" t="s">
        <v>4</v>
      </c>
      <c r="I77" s="391" t="s">
        <v>5</v>
      </c>
      <c r="J77" s="392" t="s">
        <v>2</v>
      </c>
      <c r="K77" s="393" t="s">
        <v>6</v>
      </c>
      <c r="L77" s="389" t="s">
        <v>60</v>
      </c>
      <c r="M77" s="390" t="s">
        <v>61</v>
      </c>
      <c r="N77" s="389" t="s">
        <v>62</v>
      </c>
    </row>
    <row r="78" spans="3:14">
      <c r="C78" s="95" t="s">
        <v>10</v>
      </c>
      <c r="D78" s="96" t="s">
        <v>11</v>
      </c>
      <c r="E78" s="97">
        <f>'R1'!K85</f>
        <v>296.64</v>
      </c>
      <c r="F78" s="97"/>
      <c r="G78" s="97">
        <f>'R1'!M85</f>
        <v>296.64</v>
      </c>
      <c r="H78" s="136" t="e">
        <f>+'R1'!#REF!</f>
        <v>#REF!</v>
      </c>
      <c r="I78" s="119" t="e">
        <f>+'R1'!#REF!</f>
        <v>#REF!</v>
      </c>
      <c r="J78" s="99" t="e">
        <f>+'R1'!#REF!</f>
        <v>#REF!</v>
      </c>
      <c r="K78" s="99" t="e">
        <f>SUM(I78:J78)</f>
        <v>#REF!</v>
      </c>
      <c r="L78" s="98">
        <f>'R1'!S85</f>
        <v>349.17132188263611</v>
      </c>
      <c r="M78" s="98"/>
      <c r="N78" s="98">
        <f>'R1'!U85</f>
        <v>349.17132188263611</v>
      </c>
    </row>
    <row r="79" spans="3:14">
      <c r="C79" s="95" t="s">
        <v>95</v>
      </c>
      <c r="D79" s="96" t="s">
        <v>11</v>
      </c>
      <c r="E79" s="97"/>
      <c r="F79" s="97"/>
      <c r="G79" s="97"/>
      <c r="H79" s="136"/>
      <c r="I79" s="119"/>
      <c r="J79" s="99"/>
      <c r="K79" s="99"/>
      <c r="L79" s="98">
        <f>'R1'!S86</f>
        <v>116.23258588089834</v>
      </c>
      <c r="M79" s="98">
        <f>'R1'!T86</f>
        <v>1.9821908367736605</v>
      </c>
      <c r="N79" s="98">
        <f>'R1'!U86</f>
        <v>118.214776717672</v>
      </c>
    </row>
    <row r="80" spans="3:14">
      <c r="C80" s="95" t="s">
        <v>138</v>
      </c>
      <c r="D80" s="96" t="s">
        <v>11</v>
      </c>
      <c r="E80" s="97">
        <f>'R1'!K87</f>
        <v>192.76645702442198</v>
      </c>
      <c r="F80" s="97">
        <f>'R1'!L87</f>
        <v>22.046578975578043</v>
      </c>
      <c r="G80" s="97">
        <f>'R1'!M87</f>
        <v>214.81303600000001</v>
      </c>
      <c r="H80" s="101"/>
      <c r="I80" s="101"/>
      <c r="J80" s="99" t="e">
        <f>+'R1'!#REF!</f>
        <v>#REF!</v>
      </c>
      <c r="K80" s="99" t="e">
        <f t="shared" ref="K80:K83" si="4">SUM(I80:J80)</f>
        <v>#REF!</v>
      </c>
      <c r="L80" s="98">
        <f>'R1'!S87</f>
        <v>0</v>
      </c>
      <c r="M80" s="98">
        <f>'R1'!T87</f>
        <v>9.4043029905079472</v>
      </c>
      <c r="N80" s="98">
        <f>'R1'!U87</f>
        <v>9.4043029905079472</v>
      </c>
    </row>
    <row r="81" spans="3:15">
      <c r="C81" s="95" t="s">
        <v>13</v>
      </c>
      <c r="D81" s="96" t="s">
        <v>11</v>
      </c>
      <c r="E81" s="97">
        <f>'R1'!K88</f>
        <v>14.982595684822343</v>
      </c>
      <c r="F81" s="97">
        <f>'R1'!L88</f>
        <v>25.039804315177655</v>
      </c>
      <c r="G81" s="97">
        <f>'R1'!M88</f>
        <v>40.022399999999998</v>
      </c>
      <c r="H81" s="101"/>
      <c r="I81" s="101"/>
      <c r="J81" s="99" t="e">
        <f>+'R1'!#REF!</f>
        <v>#REF!</v>
      </c>
      <c r="K81" s="99" t="e">
        <f t="shared" si="4"/>
        <v>#REF!</v>
      </c>
      <c r="L81" s="98">
        <f>'R1'!S88</f>
        <v>0</v>
      </c>
      <c r="M81" s="98">
        <f>'R1'!T88</f>
        <v>0</v>
      </c>
      <c r="N81" s="98">
        <f>'R1'!U88</f>
        <v>0</v>
      </c>
    </row>
    <row r="82" spans="3:15">
      <c r="C82" s="95" t="s">
        <v>14</v>
      </c>
      <c r="D82" s="96" t="s">
        <v>11</v>
      </c>
      <c r="E82" s="97">
        <f>'R1'!K89</f>
        <v>1.8549853330013093</v>
      </c>
      <c r="F82" s="97">
        <f>'R1'!L89</f>
        <v>115.27941466699869</v>
      </c>
      <c r="G82" s="97">
        <f>'R1'!M89</f>
        <v>117.1344</v>
      </c>
      <c r="H82" s="101"/>
      <c r="I82" s="101"/>
      <c r="J82" s="99" t="e">
        <f>+'R1'!#REF!</f>
        <v>#REF!</v>
      </c>
      <c r="K82" s="99" t="e">
        <f t="shared" si="4"/>
        <v>#REF!</v>
      </c>
      <c r="L82" s="98">
        <f>'R1'!S89</f>
        <v>-2.0759765172567022</v>
      </c>
      <c r="M82" s="98">
        <f>'R1'!T89</f>
        <v>44.277266080047028</v>
      </c>
      <c r="N82" s="98">
        <f>'R1'!U89</f>
        <v>42.201289562790322</v>
      </c>
    </row>
    <row r="83" spans="3:15">
      <c r="C83" s="95" t="s">
        <v>15</v>
      </c>
      <c r="D83" s="96" t="s">
        <v>11</v>
      </c>
      <c r="E83" s="97">
        <f>'R1'!K90</f>
        <v>2.0245359665940299</v>
      </c>
      <c r="F83" s="97">
        <f>'R1'!L90</f>
        <v>249.55786403340596</v>
      </c>
      <c r="G83" s="97">
        <f>'R1'!M90</f>
        <v>251.58240000000001</v>
      </c>
      <c r="H83" s="100" t="e">
        <f>+I83/$D$75</f>
        <v>#REF!</v>
      </c>
      <c r="I83" s="99" t="e">
        <f>+'R1'!#REF!</f>
        <v>#REF!</v>
      </c>
      <c r="J83" s="99" t="e">
        <f>+'R1'!#REF!</f>
        <v>#REF!</v>
      </c>
      <c r="K83" s="99" t="e">
        <f t="shared" si="4"/>
        <v>#REF!</v>
      </c>
      <c r="L83" s="98">
        <f>'R1'!S90</f>
        <v>3.3714408030966196</v>
      </c>
      <c r="M83" s="98">
        <f>'R1'!T90</f>
        <v>342.27313361849434</v>
      </c>
      <c r="N83" s="98">
        <f>'R1'!U90</f>
        <v>345.64457442159096</v>
      </c>
    </row>
    <row r="84" spans="3:15">
      <c r="C84" s="103" t="s">
        <v>16</v>
      </c>
      <c r="D84" s="96" t="s">
        <v>11</v>
      </c>
      <c r="E84" s="142">
        <f>'R1'!K91</f>
        <v>508.26857400883966</v>
      </c>
      <c r="F84" s="142">
        <f>'R1'!L91</f>
        <v>411.92366199116032</v>
      </c>
      <c r="G84" s="142">
        <f>'R1'!M91</f>
        <v>920.19223599999998</v>
      </c>
      <c r="H84" s="101"/>
      <c r="I84" s="104" t="e">
        <f>SUM(I78:I83)</f>
        <v>#REF!</v>
      </c>
      <c r="J84" s="104" t="e">
        <f>SUM(J78:J83)</f>
        <v>#REF!</v>
      </c>
      <c r="K84" s="104" t="e">
        <f>SUM(K78:K83)</f>
        <v>#REF!</v>
      </c>
      <c r="L84" s="104">
        <f>'R1'!S91</f>
        <v>466.69937204937435</v>
      </c>
      <c r="M84" s="104">
        <f>'R1'!T91</f>
        <v>397.936893525823</v>
      </c>
      <c r="N84" s="104">
        <f>'R1'!U91</f>
        <v>864.6362655751974</v>
      </c>
    </row>
    <row r="85" spans="3:15">
      <c r="C85" s="103" t="s">
        <v>24</v>
      </c>
      <c r="D85" s="231"/>
      <c r="E85" s="232"/>
      <c r="F85" s="232"/>
      <c r="G85" s="135"/>
      <c r="H85" s="232"/>
      <c r="I85" s="232"/>
      <c r="J85" s="233"/>
      <c r="K85" s="135" t="e">
        <f>+K84/#REF!</f>
        <v>#REF!</v>
      </c>
      <c r="L85" s="444"/>
      <c r="M85" s="445"/>
      <c r="N85" s="135">
        <f>+N84/G84</f>
        <v>0.93962569096833526</v>
      </c>
    </row>
    <row r="88" spans="3:15" ht="18.75">
      <c r="C88" s="107" t="s">
        <v>139</v>
      </c>
    </row>
    <row r="89" spans="3:15">
      <c r="C89" s="275" t="s">
        <v>0</v>
      </c>
    </row>
    <row r="90" spans="3:15" ht="15" customHeight="1">
      <c r="C90" s="108" t="s">
        <v>7</v>
      </c>
      <c r="D90" s="241">
        <v>2400</v>
      </c>
      <c r="E90" s="446" t="s">
        <v>136</v>
      </c>
      <c r="F90" s="446"/>
      <c r="G90" s="446"/>
      <c r="L90" s="447" t="s">
        <v>140</v>
      </c>
      <c r="M90" s="448"/>
      <c r="N90" s="449"/>
    </row>
    <row r="91" spans="3:15">
      <c r="C91" s="103" t="s">
        <v>9</v>
      </c>
      <c r="D91" s="242">
        <v>24.362687338309179</v>
      </c>
      <c r="E91" s="446"/>
      <c r="F91" s="446"/>
      <c r="G91" s="446"/>
      <c r="H91" s="236"/>
      <c r="K91" s="237"/>
      <c r="L91" s="450"/>
      <c r="M91" s="451"/>
      <c r="N91" s="452"/>
      <c r="O91" s="87"/>
    </row>
    <row r="92" spans="3:15" ht="45">
      <c r="C92" s="103"/>
      <c r="D92" s="242"/>
      <c r="E92" s="389" t="s">
        <v>60</v>
      </c>
      <c r="F92" s="390" t="s">
        <v>61</v>
      </c>
      <c r="G92" s="389" t="s">
        <v>62</v>
      </c>
      <c r="H92" s="391" t="s">
        <v>4</v>
      </c>
      <c r="I92" s="391" t="s">
        <v>5</v>
      </c>
      <c r="J92" s="392" t="s">
        <v>2</v>
      </c>
      <c r="K92" s="393" t="s">
        <v>6</v>
      </c>
      <c r="L92" s="389" t="s">
        <v>60</v>
      </c>
      <c r="M92" s="390" t="s">
        <v>61</v>
      </c>
      <c r="N92" s="389" t="s">
        <v>62</v>
      </c>
    </row>
    <row r="93" spans="3:15">
      <c r="C93" s="95" t="s">
        <v>10</v>
      </c>
      <c r="D93" s="240" t="s">
        <v>11</v>
      </c>
      <c r="E93" s="225">
        <f>'R1'!K55</f>
        <v>296.64</v>
      </c>
      <c r="F93" s="225"/>
      <c r="G93" s="225">
        <f>'R1'!M55</f>
        <v>296.64</v>
      </c>
      <c r="H93" s="119" t="e">
        <f>+'R1'!#REF!</f>
        <v>#REF!</v>
      </c>
      <c r="I93" s="119" t="e">
        <f>+'R1'!#REF!</f>
        <v>#REF!</v>
      </c>
      <c r="J93" s="99" t="e">
        <f>+'R1'!#REF!</f>
        <v>#REF!</v>
      </c>
      <c r="K93" s="99" t="e">
        <f>SUM(I93:J93)</f>
        <v>#REF!</v>
      </c>
      <c r="L93" s="98">
        <f>'R1'!AA55</f>
        <v>520.27803420035798</v>
      </c>
      <c r="M93" s="98">
        <f>'R1'!AB55</f>
        <v>2.9179954545121554</v>
      </c>
      <c r="N93" s="98">
        <f>'R1'!AC55</f>
        <v>523.19602965487013</v>
      </c>
    </row>
    <row r="94" spans="3:15">
      <c r="C94" s="95" t="s">
        <v>95</v>
      </c>
      <c r="D94" s="96" t="s">
        <v>11</v>
      </c>
      <c r="E94" s="225">
        <f>'R1'!K56</f>
        <v>0</v>
      </c>
      <c r="F94" s="225">
        <f>'R1'!L56</f>
        <v>0</v>
      </c>
      <c r="G94" s="225">
        <f>'R1'!M56</f>
        <v>0</v>
      </c>
      <c r="H94" s="119"/>
      <c r="I94" s="119"/>
      <c r="J94" s="99"/>
      <c r="K94" s="99"/>
      <c r="L94" s="98"/>
      <c r="M94" s="98"/>
      <c r="N94" s="98"/>
    </row>
    <row r="95" spans="3:15">
      <c r="C95" s="95" t="s">
        <v>138</v>
      </c>
      <c r="D95" s="96" t="s">
        <v>11</v>
      </c>
      <c r="E95" s="225">
        <f>'R1'!K57</f>
        <v>192.76645702442198</v>
      </c>
      <c r="F95" s="225">
        <f>'R1'!L57</f>
        <v>22.046578975578043</v>
      </c>
      <c r="G95" s="225">
        <f>'R1'!M57</f>
        <v>214.81303600000001</v>
      </c>
      <c r="H95" s="101"/>
      <c r="I95" s="101"/>
      <c r="J95" s="99" t="e">
        <f>+'R1'!#REF!</f>
        <v>#REF!</v>
      </c>
      <c r="K95" s="99" t="e">
        <f t="shared" ref="K95:K98" si="5">SUM(I95:J95)</f>
        <v>#REF!</v>
      </c>
      <c r="L95" s="98">
        <f>'R1'!AA57</f>
        <v>0</v>
      </c>
      <c r="M95" s="98">
        <f>'R1'!AB57</f>
        <v>9.4043029905079472</v>
      </c>
      <c r="N95" s="98">
        <f>'R1'!AC57</f>
        <v>9.4043029905079472</v>
      </c>
    </row>
    <row r="96" spans="3:15">
      <c r="C96" s="95" t="s">
        <v>13</v>
      </c>
      <c r="D96" s="96" t="s">
        <v>11</v>
      </c>
      <c r="E96" s="225">
        <f>'R1'!K58</f>
        <v>14.982595684822343</v>
      </c>
      <c r="F96" s="225">
        <f>'R1'!L58</f>
        <v>25.039804315177655</v>
      </c>
      <c r="G96" s="225">
        <f>'R1'!M58</f>
        <v>40.022399999999998</v>
      </c>
      <c r="H96" s="101"/>
      <c r="I96" s="101"/>
      <c r="J96" s="99" t="e">
        <f>+'R1'!#REF!</f>
        <v>#REF!</v>
      </c>
      <c r="K96" s="99" t="e">
        <f t="shared" si="5"/>
        <v>#REF!</v>
      </c>
      <c r="L96" s="98">
        <f>'R1'!AA58</f>
        <v>0</v>
      </c>
      <c r="M96" s="98">
        <f>'R1'!AB58</f>
        <v>0</v>
      </c>
      <c r="N96" s="98">
        <f>'R1'!AC58</f>
        <v>0</v>
      </c>
    </row>
    <row r="97" spans="3:15">
      <c r="C97" s="95" t="s">
        <v>14</v>
      </c>
      <c r="D97" s="96" t="s">
        <v>11</v>
      </c>
      <c r="E97" s="225">
        <f>'R1'!K59</f>
        <v>1.8549853330013093</v>
      </c>
      <c r="F97" s="225">
        <f>'R1'!L59</f>
        <v>115.27941466699869</v>
      </c>
      <c r="G97" s="225">
        <f>'R1'!M59</f>
        <v>117.1344</v>
      </c>
      <c r="H97" s="101"/>
      <c r="I97" s="101"/>
      <c r="J97" s="99" t="e">
        <f>+'R1'!#REF!</f>
        <v>#REF!</v>
      </c>
      <c r="K97" s="99" t="e">
        <f t="shared" si="5"/>
        <v>#REF!</v>
      </c>
      <c r="L97" s="98">
        <f>'R1'!AA59</f>
        <v>-2.0759765172567022</v>
      </c>
      <c r="M97" s="98">
        <f>'R1'!AB59</f>
        <v>44.277266080047028</v>
      </c>
      <c r="N97" s="98">
        <f>'R1'!AC59</f>
        <v>42.201289562790322</v>
      </c>
    </row>
    <row r="98" spans="3:15">
      <c r="C98" s="95" t="s">
        <v>15</v>
      </c>
      <c r="D98" s="96" t="s">
        <v>11</v>
      </c>
      <c r="E98" s="225">
        <f>'R1'!K60</f>
        <v>2.0245359665940299</v>
      </c>
      <c r="F98" s="225">
        <f>'R1'!L60</f>
        <v>249.55786403340596</v>
      </c>
      <c r="G98" s="225">
        <f>'R1'!M60</f>
        <v>251.58240000000001</v>
      </c>
      <c r="H98" s="100" t="e">
        <f>+I98/$D$6</f>
        <v>#REF!</v>
      </c>
      <c r="I98" s="99" t="e">
        <f>+'R1'!#REF!</f>
        <v>#REF!</v>
      </c>
      <c r="J98" s="99" t="e">
        <f>+'R1'!#REF!</f>
        <v>#REF!</v>
      </c>
      <c r="K98" s="99" t="e">
        <f t="shared" si="5"/>
        <v>#REF!</v>
      </c>
      <c r="L98" s="98">
        <f>'R1'!AA60</f>
        <v>3.3714408030966196</v>
      </c>
      <c r="M98" s="98">
        <f>'R1'!AB60</f>
        <v>342.27313361849434</v>
      </c>
      <c r="N98" s="98">
        <f>'R1'!AC60</f>
        <v>345.64457442159096</v>
      </c>
    </row>
    <row r="99" spans="3:15">
      <c r="C99" s="133" t="s">
        <v>16</v>
      </c>
      <c r="D99" s="102" t="s">
        <v>11</v>
      </c>
      <c r="E99" s="274">
        <f>'R1'!K61</f>
        <v>508.26857400883966</v>
      </c>
      <c r="F99" s="274">
        <f>'R1'!L61</f>
        <v>411.92366199116032</v>
      </c>
      <c r="G99" s="274">
        <f>'R1'!M61</f>
        <v>920.19223599999998</v>
      </c>
      <c r="H99" s="239"/>
      <c r="I99" s="134" t="e">
        <f>SUM(I93:I98)</f>
        <v>#REF!</v>
      </c>
      <c r="J99" s="134" t="e">
        <f>SUM(J93:J98)</f>
        <v>#REF!</v>
      </c>
      <c r="K99" s="104" t="e">
        <f>SUM(K93:K98)</f>
        <v>#REF!</v>
      </c>
      <c r="L99" s="104">
        <f>'R1'!AA61</f>
        <v>521.57349848619799</v>
      </c>
      <c r="M99" s="104">
        <f>'R1'!AB61</f>
        <v>398.87269814356148</v>
      </c>
      <c r="N99" s="104">
        <f>'R1'!AC61</f>
        <v>920.44619662975936</v>
      </c>
      <c r="O99" s="273"/>
    </row>
    <row r="100" spans="3:15">
      <c r="C100" s="103" t="s">
        <v>24</v>
      </c>
      <c r="D100" s="226"/>
      <c r="E100" s="232"/>
      <c r="F100" s="232"/>
      <c r="G100" s="238"/>
      <c r="H100" s="231"/>
      <c r="I100" s="232"/>
      <c r="J100" s="233"/>
      <c r="K100" s="135" t="e">
        <f>+K99/#REF!</f>
        <v>#REF!</v>
      </c>
      <c r="L100" s="444"/>
      <c r="M100" s="445"/>
      <c r="N100" s="135">
        <f>+N99/G99</f>
        <v>1.0002759864948039</v>
      </c>
    </row>
    <row r="102" spans="3:15" ht="15.75">
      <c r="C102" s="93" t="s">
        <v>17</v>
      </c>
    </row>
    <row r="103" spans="3:15" ht="15" customHeight="1">
      <c r="C103" s="245" t="s">
        <v>7</v>
      </c>
      <c r="D103" s="241">
        <v>1081</v>
      </c>
      <c r="E103" s="446" t="s">
        <v>136</v>
      </c>
      <c r="F103" s="446"/>
      <c r="G103" s="446"/>
      <c r="L103" s="447" t="s">
        <v>140</v>
      </c>
      <c r="M103" s="448"/>
      <c r="N103" s="449"/>
    </row>
    <row r="104" spans="3:15">
      <c r="C104" s="103" t="s">
        <v>9</v>
      </c>
      <c r="D104" s="247">
        <v>10.973360421963427</v>
      </c>
      <c r="E104" s="446"/>
      <c r="F104" s="446"/>
      <c r="G104" s="446"/>
      <c r="H104" s="236"/>
      <c r="K104" s="237"/>
      <c r="L104" s="450"/>
      <c r="M104" s="451"/>
      <c r="N104" s="452"/>
    </row>
    <row r="105" spans="3:15" ht="45">
      <c r="C105" s="103"/>
      <c r="D105" s="248"/>
      <c r="E105" s="389" t="s">
        <v>60</v>
      </c>
      <c r="F105" s="390" t="s">
        <v>61</v>
      </c>
      <c r="G105" s="389" t="s">
        <v>62</v>
      </c>
      <c r="H105" s="391" t="s">
        <v>4</v>
      </c>
      <c r="I105" s="391" t="s">
        <v>5</v>
      </c>
      <c r="J105" s="392" t="s">
        <v>2</v>
      </c>
      <c r="K105" s="393" t="s">
        <v>6</v>
      </c>
      <c r="L105" s="389" t="s">
        <v>60</v>
      </c>
      <c r="M105" s="390" t="s">
        <v>61</v>
      </c>
      <c r="N105" s="389" t="s">
        <v>62</v>
      </c>
    </row>
    <row r="106" spans="3:15">
      <c r="C106" s="95" t="s">
        <v>10</v>
      </c>
      <c r="D106" s="246" t="s">
        <v>11</v>
      </c>
      <c r="E106" s="97">
        <f>'R1'!K41</f>
        <v>296.64</v>
      </c>
      <c r="F106" s="97"/>
      <c r="G106" s="97">
        <f>'R1'!M41</f>
        <v>296.64</v>
      </c>
      <c r="H106" s="136" t="e">
        <f>+'R1'!#REF!</f>
        <v>#REF!</v>
      </c>
      <c r="I106" s="119" t="e">
        <f>+'R1'!#REF!</f>
        <v>#REF!</v>
      </c>
      <c r="J106" s="99" t="e">
        <f>+'R1'!#REF!</f>
        <v>#REF!</v>
      </c>
      <c r="K106" s="141" t="e">
        <f>SUM(I106:J106)</f>
        <v>#REF!</v>
      </c>
      <c r="L106" s="225">
        <f>'R1'!AA41</f>
        <v>520.27803420035798</v>
      </c>
      <c r="M106" s="225">
        <f>'R1'!AB41</f>
        <v>2.9179954545121554</v>
      </c>
      <c r="N106" s="225">
        <f>'R1'!AC41</f>
        <v>523.19602965487013</v>
      </c>
    </row>
    <row r="107" spans="3:15">
      <c r="C107" s="95" t="s">
        <v>95</v>
      </c>
      <c r="D107" s="96" t="s">
        <v>11</v>
      </c>
      <c r="E107" s="97"/>
      <c r="F107" s="97"/>
      <c r="G107" s="97"/>
      <c r="H107" s="136"/>
      <c r="I107" s="119"/>
      <c r="J107" s="99"/>
      <c r="K107" s="141"/>
      <c r="L107" s="225"/>
      <c r="M107" s="225"/>
      <c r="N107" s="225"/>
    </row>
    <row r="108" spans="3:15">
      <c r="C108" s="95" t="s">
        <v>138</v>
      </c>
      <c r="D108" s="96" t="s">
        <v>11</v>
      </c>
      <c r="E108" s="97">
        <f>'R1'!K43</f>
        <v>92.963875853992107</v>
      </c>
      <c r="F108" s="97">
        <f>'R1'!L43</f>
        <v>9.8719081460079146</v>
      </c>
      <c r="G108" s="97">
        <f>'R1'!M43</f>
        <v>102.83578400000002</v>
      </c>
      <c r="H108" s="137"/>
      <c r="I108" s="101"/>
      <c r="J108" s="99" t="e">
        <f>+'R1'!#REF!</f>
        <v>#REF!</v>
      </c>
      <c r="K108" s="141" t="e">
        <f t="shared" ref="K108:K111" si="6">SUM(I108:J108)</f>
        <v>#REF!</v>
      </c>
      <c r="L108" s="225">
        <f>'R1'!AA43</f>
        <v>0</v>
      </c>
      <c r="M108" s="225">
        <f>'R1'!AB43</f>
        <v>4.2358548053079543</v>
      </c>
      <c r="N108" s="225">
        <f>'R1'!AC43</f>
        <v>4.2358548053079543</v>
      </c>
    </row>
    <row r="109" spans="3:15">
      <c r="C109" s="95" t="s">
        <v>13</v>
      </c>
      <c r="D109" s="96" t="s">
        <v>11</v>
      </c>
      <c r="E109" s="97">
        <f>'R1'!K44</f>
        <v>6.748410806372064</v>
      </c>
      <c r="F109" s="97">
        <f>'R1'!L44</f>
        <v>11.278345193627937</v>
      </c>
      <c r="G109" s="97">
        <f>'R1'!M44</f>
        <v>18.026755999999999</v>
      </c>
      <c r="H109" s="137"/>
      <c r="I109" s="101"/>
      <c r="J109" s="99" t="e">
        <f>+'R1'!#REF!</f>
        <v>#REF!</v>
      </c>
      <c r="K109" s="141" t="e">
        <f t="shared" si="6"/>
        <v>#REF!</v>
      </c>
      <c r="L109" s="225">
        <f>'R1'!AA44</f>
        <v>0</v>
      </c>
      <c r="M109" s="225">
        <f>'R1'!AB44</f>
        <v>0</v>
      </c>
      <c r="N109" s="225">
        <f>'R1'!AC44</f>
        <v>0</v>
      </c>
      <c r="O109" s="273"/>
    </row>
    <row r="110" spans="3:15">
      <c r="C110" s="95" t="s">
        <v>14</v>
      </c>
      <c r="D110" s="96" t="s">
        <v>11</v>
      </c>
      <c r="E110" s="97">
        <f>'R1'!K45</f>
        <v>0.83551631040600649</v>
      </c>
      <c r="F110" s="97">
        <f>'R1'!L45</f>
        <v>51.923769689593996</v>
      </c>
      <c r="G110" s="97">
        <f>'R1'!M45</f>
        <v>52.759286000000003</v>
      </c>
      <c r="H110" s="137"/>
      <c r="I110" s="101"/>
      <c r="J110" s="99" t="e">
        <f>+'R1'!#REF!</f>
        <v>#REF!</v>
      </c>
      <c r="K110" s="141" t="e">
        <f t="shared" si="6"/>
        <v>#REF!</v>
      </c>
      <c r="L110" s="225">
        <f>'R1'!AA45</f>
        <v>-0.93505442298103958</v>
      </c>
      <c r="M110" s="225">
        <f>'R1'!AB45</f>
        <v>19.943218596887849</v>
      </c>
      <c r="N110" s="225">
        <f>'R1'!AC45</f>
        <v>19.00816417390681</v>
      </c>
    </row>
    <row r="111" spans="3:15">
      <c r="C111" s="95" t="s">
        <v>15</v>
      </c>
      <c r="D111" s="96" t="s">
        <v>11</v>
      </c>
      <c r="E111" s="97">
        <f>'R1'!K46</f>
        <v>0.91188474162006095</v>
      </c>
      <c r="F111" s="97">
        <f>'R1'!L46</f>
        <v>112.40502125837993</v>
      </c>
      <c r="G111" s="97">
        <f>'R1'!M46</f>
        <v>113.31690599999999</v>
      </c>
      <c r="H111" s="138" t="e">
        <f>+I111/$D$18</f>
        <v>#REF!</v>
      </c>
      <c r="I111" s="99" t="e">
        <f>+'R1'!#REF!</f>
        <v>#REF!</v>
      </c>
      <c r="J111" s="99" t="e">
        <f>+'R1'!#REF!</f>
        <v>#REF!</v>
      </c>
      <c r="K111" s="141" t="e">
        <f t="shared" si="6"/>
        <v>#REF!</v>
      </c>
      <c r="L111" s="225">
        <f>'R1'!AA46</f>
        <v>1.5185531283947691</v>
      </c>
      <c r="M111" s="225">
        <f>'R1'!AB46</f>
        <v>154.16552393399684</v>
      </c>
      <c r="N111" s="225">
        <f>'R1'!AC46</f>
        <v>155.68407706239159</v>
      </c>
    </row>
    <row r="112" spans="3:15">
      <c r="C112" s="103" t="s">
        <v>16</v>
      </c>
      <c r="D112" s="96" t="s">
        <v>11</v>
      </c>
      <c r="E112" s="142">
        <f>'R1'!K47</f>
        <v>398.09968771239022</v>
      </c>
      <c r="F112" s="142">
        <f>'R1'!L47</f>
        <v>185.47904428760978</v>
      </c>
      <c r="G112" s="142">
        <f>'R1'!M47</f>
        <v>583.57873199999995</v>
      </c>
      <c r="H112" s="137"/>
      <c r="I112" s="104" t="e">
        <f>SUM(I106:I111)</f>
        <v>#REF!</v>
      </c>
      <c r="J112" s="104" t="e">
        <f>SUM(J106:J111)</f>
        <v>#REF!</v>
      </c>
      <c r="K112" s="140" t="e">
        <f>SUM(K106:K111)</f>
        <v>#REF!</v>
      </c>
      <c r="L112" s="274">
        <f>'R1'!AA47</f>
        <v>520.8615329057717</v>
      </c>
      <c r="M112" s="274">
        <f>'R1'!AB47</f>
        <v>181.26259279070479</v>
      </c>
      <c r="N112" s="274">
        <f>'R1'!AC47</f>
        <v>702.12412569647654</v>
      </c>
    </row>
    <row r="113" spans="3:15">
      <c r="C113" s="103" t="s">
        <v>24</v>
      </c>
      <c r="D113" s="231"/>
      <c r="E113" s="232"/>
      <c r="F113" s="232"/>
      <c r="G113" s="238"/>
      <c r="H113" s="232"/>
      <c r="I113" s="232"/>
      <c r="J113" s="233"/>
      <c r="K113" s="135" t="e">
        <f>+K112/#REF!</f>
        <v>#REF!</v>
      </c>
      <c r="L113" s="444"/>
      <c r="M113" s="445"/>
      <c r="N113" s="135">
        <f>+N112/G112</f>
        <v>1.203135219287732</v>
      </c>
    </row>
    <row r="115" spans="3:15" ht="15.75">
      <c r="C115" s="93" t="s">
        <v>18</v>
      </c>
    </row>
    <row r="116" spans="3:15" ht="15" customHeight="1">
      <c r="C116" s="245" t="s">
        <v>7</v>
      </c>
      <c r="D116" s="241">
        <v>5048</v>
      </c>
      <c r="E116" s="446" t="s">
        <v>136</v>
      </c>
      <c r="F116" s="446"/>
      <c r="G116" s="446"/>
      <c r="L116" s="447" t="s">
        <v>140</v>
      </c>
      <c r="M116" s="448"/>
      <c r="N116" s="449"/>
    </row>
    <row r="117" spans="3:15">
      <c r="C117" s="103" t="s">
        <v>9</v>
      </c>
      <c r="D117" s="247">
        <v>51.242852368243646</v>
      </c>
      <c r="E117" s="446"/>
      <c r="F117" s="446"/>
      <c r="G117" s="446"/>
      <c r="H117" s="236"/>
      <c r="K117" s="237"/>
      <c r="L117" s="450"/>
      <c r="M117" s="451"/>
      <c r="N117" s="452"/>
    </row>
    <row r="118" spans="3:15" ht="45">
      <c r="C118" s="103"/>
      <c r="D118" s="248"/>
      <c r="E118" s="389" t="s">
        <v>60</v>
      </c>
      <c r="F118" s="390" t="s">
        <v>61</v>
      </c>
      <c r="G118" s="389" t="s">
        <v>62</v>
      </c>
      <c r="H118" s="391" t="s">
        <v>4</v>
      </c>
      <c r="I118" s="391" t="s">
        <v>5</v>
      </c>
      <c r="J118" s="392" t="s">
        <v>2</v>
      </c>
      <c r="K118" s="393" t="s">
        <v>6</v>
      </c>
      <c r="L118" s="389" t="s">
        <v>60</v>
      </c>
      <c r="M118" s="390" t="s">
        <v>61</v>
      </c>
      <c r="N118" s="389" t="s">
        <v>62</v>
      </c>
    </row>
    <row r="119" spans="3:15">
      <c r="C119" s="95" t="s">
        <v>10</v>
      </c>
      <c r="D119" s="96" t="s">
        <v>11</v>
      </c>
      <c r="E119" s="97">
        <f>'R1'!K27</f>
        <v>296.64</v>
      </c>
      <c r="F119" s="97"/>
      <c r="G119" s="97">
        <f>'R1'!M27</f>
        <v>296.64</v>
      </c>
      <c r="H119" s="97">
        <f>'R1'!N27</f>
        <v>0</v>
      </c>
      <c r="I119" s="97">
        <f>'R1'!O27</f>
        <v>0</v>
      </c>
      <c r="J119" s="97" t="str">
        <f>'R1'!P27</f>
        <v>CUSTOMER CHG.</v>
      </c>
      <c r="K119" s="97">
        <f>'R1'!Q27</f>
        <v>0</v>
      </c>
      <c r="L119" s="98">
        <f>'R1'!AA27</f>
        <v>520.27803420035798</v>
      </c>
      <c r="M119" s="98">
        <f>'R1'!AB27</f>
        <v>2.9179954545121554</v>
      </c>
      <c r="N119" s="98">
        <f>'R1'!AC27</f>
        <v>523.19602965487013</v>
      </c>
    </row>
    <row r="120" spans="3:15">
      <c r="C120" s="95" t="s">
        <v>95</v>
      </c>
      <c r="D120" s="96" t="s">
        <v>11</v>
      </c>
      <c r="E120" s="97"/>
      <c r="F120" s="97"/>
      <c r="G120" s="97"/>
      <c r="H120" s="136"/>
      <c r="I120" s="119"/>
      <c r="J120" s="99"/>
      <c r="K120" s="99"/>
      <c r="L120" s="98"/>
      <c r="M120" s="98"/>
      <c r="N120" s="98"/>
    </row>
    <row r="121" spans="3:15">
      <c r="C121" s="95" t="s">
        <v>138</v>
      </c>
      <c r="D121" s="96" t="s">
        <v>11</v>
      </c>
      <c r="E121" s="97">
        <f>'R1'!K29</f>
        <v>393.2902868513691</v>
      </c>
      <c r="F121" s="97">
        <f>'R1'!L29</f>
        <v>46.486633148630901</v>
      </c>
      <c r="G121" s="97">
        <f>'R1'!M29</f>
        <v>439.77692000000002</v>
      </c>
      <c r="H121" s="101"/>
      <c r="I121" s="101"/>
      <c r="J121" s="99" t="e">
        <f>+'R1'!#REF!</f>
        <v>#REF!</v>
      </c>
      <c r="K121" s="99" t="e">
        <f t="shared" ref="K121:K124" si="7">SUM(I121:J121)</f>
        <v>#REF!</v>
      </c>
      <c r="L121" s="98">
        <f>'R1'!AA29</f>
        <v>0</v>
      </c>
      <c r="M121" s="98">
        <f>'R1'!AB29</f>
        <v>19.780383956701712</v>
      </c>
      <c r="N121" s="98">
        <f>'R1'!AC29</f>
        <v>19.780383956701712</v>
      </c>
    </row>
    <row r="122" spans="3:15">
      <c r="C122" s="95" t="s">
        <v>13</v>
      </c>
      <c r="D122" s="96" t="s">
        <v>11</v>
      </c>
      <c r="E122" s="97">
        <f>'R1'!K30</f>
        <v>31.513392923742995</v>
      </c>
      <c r="F122" s="97">
        <f>'R1'!L30</f>
        <v>52.667055076257007</v>
      </c>
      <c r="G122" s="97">
        <f>'R1'!M30</f>
        <v>84.180447999999998</v>
      </c>
      <c r="H122" s="101"/>
      <c r="I122" s="101"/>
      <c r="J122" s="99" t="e">
        <f>+'R1'!#REF!</f>
        <v>#REF!</v>
      </c>
      <c r="K122" s="99" t="e">
        <f t="shared" si="7"/>
        <v>#REF!</v>
      </c>
      <c r="L122" s="98">
        <f>'R1'!AA30</f>
        <v>0</v>
      </c>
      <c r="M122" s="98">
        <f>'R1'!AB30</f>
        <v>0</v>
      </c>
      <c r="N122" s="98">
        <f>'R1'!AC30</f>
        <v>0</v>
      </c>
    </row>
    <row r="123" spans="3:15">
      <c r="C123" s="95" t="s">
        <v>14</v>
      </c>
      <c r="D123" s="96" t="s">
        <v>11</v>
      </c>
      <c r="E123" s="97">
        <f>'R1'!K31</f>
        <v>3.9016524837460875</v>
      </c>
      <c r="F123" s="97">
        <f>'R1'!L31</f>
        <v>242.47103551625392</v>
      </c>
      <c r="G123" s="97">
        <f>'R1'!M31</f>
        <v>246.37268800000001</v>
      </c>
      <c r="H123" s="101"/>
      <c r="I123" s="101"/>
      <c r="J123" s="99" t="e">
        <f>+'R1'!#REF!</f>
        <v>#REF!</v>
      </c>
      <c r="K123" s="99" t="e">
        <f t="shared" si="7"/>
        <v>#REF!</v>
      </c>
      <c r="L123" s="98">
        <f>'R1'!AA31</f>
        <v>-4.3664706079632634</v>
      </c>
      <c r="M123" s="98">
        <f>'R1'!AB31</f>
        <v>93.129849655032245</v>
      </c>
      <c r="N123" s="98">
        <f>'R1'!AC31</f>
        <v>88.76337904706898</v>
      </c>
    </row>
    <row r="124" spans="3:15">
      <c r="C124" s="95" t="s">
        <v>15</v>
      </c>
      <c r="D124" s="96" t="s">
        <v>11</v>
      </c>
      <c r="E124" s="97">
        <f>'R1'!K32</f>
        <v>4.2582739830694427</v>
      </c>
      <c r="F124" s="97">
        <f>'R1'!L32</f>
        <v>524.90337401693057</v>
      </c>
      <c r="G124" s="97">
        <f>'R1'!M32</f>
        <v>529.16164800000001</v>
      </c>
      <c r="H124" s="100" t="e">
        <f>+I124/$D$31</f>
        <v>#REF!</v>
      </c>
      <c r="I124" s="99" t="e">
        <f>+'R1'!#REF!</f>
        <v>#REF!</v>
      </c>
      <c r="J124" s="99" t="e">
        <f>+'R1'!#REF!</f>
        <v>#REF!</v>
      </c>
      <c r="K124" s="99" t="e">
        <f t="shared" si="7"/>
        <v>#REF!</v>
      </c>
      <c r="L124" s="98">
        <f>'R1'!AA32</f>
        <v>7.0912638225132234</v>
      </c>
      <c r="M124" s="98">
        <f>'R1'!AB32</f>
        <v>719.91449104423316</v>
      </c>
      <c r="N124" s="98">
        <f>'R1'!AC32</f>
        <v>727.00575486674643</v>
      </c>
    </row>
    <row r="125" spans="3:15">
      <c r="C125" s="103" t="s">
        <v>16</v>
      </c>
      <c r="D125" s="96" t="s">
        <v>11</v>
      </c>
      <c r="E125" s="142">
        <f>'R1'!K33</f>
        <v>729.60360624192765</v>
      </c>
      <c r="F125" s="142">
        <f>'R1'!L33</f>
        <v>866.52809775807236</v>
      </c>
      <c r="G125" s="142">
        <f>'R1'!M33</f>
        <v>1596.1317039999999</v>
      </c>
      <c r="H125" s="101"/>
      <c r="I125" s="104" t="e">
        <f>SUM(I119:I124)</f>
        <v>#REF!</v>
      </c>
      <c r="J125" s="104" t="e">
        <f>SUM(J119:J124)</f>
        <v>#REF!</v>
      </c>
      <c r="K125" s="105" t="e">
        <f>SUM(K119:K124)</f>
        <v>#REF!</v>
      </c>
      <c r="L125" s="104">
        <f>'R1'!AA33</f>
        <v>523.00282741490798</v>
      </c>
      <c r="M125" s="104">
        <f>'R1'!AB33</f>
        <v>835.74272011047924</v>
      </c>
      <c r="N125" s="104">
        <f>'R1'!AC33</f>
        <v>1358.7455475253873</v>
      </c>
    </row>
    <row r="126" spans="3:15" ht="15" customHeight="1">
      <c r="C126" s="103" t="s">
        <v>24</v>
      </c>
      <c r="D126" s="231"/>
      <c r="E126" s="232"/>
      <c r="F126" s="232"/>
      <c r="G126" s="238"/>
      <c r="H126" s="232"/>
      <c r="I126" s="232"/>
      <c r="J126" s="233"/>
      <c r="K126" s="135" t="e">
        <f>+K125/#REF!</f>
        <v>#REF!</v>
      </c>
      <c r="L126" s="444"/>
      <c r="M126" s="445"/>
      <c r="N126" s="135">
        <f>+N125/G125</f>
        <v>0.85127407977693259</v>
      </c>
    </row>
    <row r="127" spans="3:15">
      <c r="C127" s="91"/>
      <c r="D127" s="89"/>
      <c r="E127" s="272"/>
      <c r="F127" s="272"/>
      <c r="G127" s="271"/>
      <c r="L127" s="272"/>
      <c r="M127" s="272"/>
      <c r="N127" s="272"/>
      <c r="O127" s="273"/>
    </row>
    <row r="132" spans="3:15" ht="18.75">
      <c r="C132" s="107" t="s">
        <v>19</v>
      </c>
    </row>
    <row r="133" spans="3:15">
      <c r="E133" s="453"/>
      <c r="F133" s="453"/>
      <c r="G133" s="453"/>
      <c r="L133" s="453"/>
      <c r="M133" s="453"/>
      <c r="N133" s="453"/>
    </row>
    <row r="134" spans="3:15" ht="15.75">
      <c r="C134" s="94" t="s">
        <v>20</v>
      </c>
      <c r="D134" s="84"/>
      <c r="E134" s="228"/>
      <c r="F134" s="229"/>
      <c r="G134" s="228"/>
      <c r="H134" s="86"/>
      <c r="I134" s="86"/>
      <c r="J134" s="84"/>
      <c r="K134" s="85"/>
      <c r="L134" s="228"/>
      <c r="M134" s="229"/>
      <c r="N134" s="228"/>
      <c r="O134" s="87"/>
    </row>
    <row r="135" spans="3:15" ht="15" customHeight="1">
      <c r="C135" s="245" t="s">
        <v>7</v>
      </c>
      <c r="D135" s="241">
        <v>2400</v>
      </c>
      <c r="E135" s="446" t="s">
        <v>136</v>
      </c>
      <c r="F135" s="446"/>
      <c r="G135" s="446"/>
      <c r="L135" s="447" t="s">
        <v>140</v>
      </c>
      <c r="M135" s="448"/>
      <c r="N135" s="449"/>
    </row>
    <row r="136" spans="3:15">
      <c r="C136" s="103" t="s">
        <v>9</v>
      </c>
      <c r="D136" s="247">
        <v>24.362687338309179</v>
      </c>
      <c r="E136" s="446"/>
      <c r="F136" s="446"/>
      <c r="G136" s="446"/>
      <c r="H136" s="236"/>
      <c r="K136" s="237"/>
      <c r="L136" s="450"/>
      <c r="M136" s="451"/>
      <c r="N136" s="452"/>
    </row>
    <row r="137" spans="3:15" ht="45">
      <c r="C137" s="103"/>
      <c r="D137" s="247"/>
      <c r="E137" s="389" t="s">
        <v>60</v>
      </c>
      <c r="F137" s="390" t="s">
        <v>61</v>
      </c>
      <c r="G137" s="389" t="s">
        <v>62</v>
      </c>
      <c r="H137" s="391" t="s">
        <v>4</v>
      </c>
      <c r="I137" s="391" t="s">
        <v>5</v>
      </c>
      <c r="J137" s="392" t="s">
        <v>2</v>
      </c>
      <c r="K137" s="393" t="s">
        <v>6</v>
      </c>
      <c r="L137" s="389" t="s">
        <v>60</v>
      </c>
      <c r="M137" s="390" t="s">
        <v>61</v>
      </c>
      <c r="N137" s="389" t="s">
        <v>62</v>
      </c>
    </row>
    <row r="138" spans="3:15">
      <c r="C138" s="95" t="s">
        <v>10</v>
      </c>
      <c r="D138" s="96" t="s">
        <v>11</v>
      </c>
      <c r="E138" s="98">
        <f>'R1'!K55</f>
        <v>296.64</v>
      </c>
      <c r="F138" s="98"/>
      <c r="G138" s="98">
        <f>'R1'!M55</f>
        <v>296.64</v>
      </c>
      <c r="H138" s="136"/>
      <c r="I138" s="119"/>
      <c r="J138" s="99"/>
      <c r="K138" s="141"/>
      <c r="L138" s="225">
        <f>'R1'!AA55</f>
        <v>520.27803420035798</v>
      </c>
      <c r="M138" s="225">
        <f>'R1'!AB55</f>
        <v>2.9179954545121554</v>
      </c>
      <c r="N138" s="225">
        <f>'R1'!AC55</f>
        <v>523.19602965487013</v>
      </c>
    </row>
    <row r="139" spans="3:15">
      <c r="C139" s="95" t="s">
        <v>95</v>
      </c>
      <c r="D139" s="96" t="s">
        <v>11</v>
      </c>
      <c r="E139" s="98"/>
      <c r="F139" s="98"/>
      <c r="G139" s="98"/>
      <c r="H139" s="136"/>
      <c r="I139" s="119"/>
      <c r="J139" s="99"/>
      <c r="K139" s="141"/>
      <c r="L139" s="225"/>
      <c r="M139" s="225"/>
      <c r="N139" s="225"/>
    </row>
    <row r="140" spans="3:15">
      <c r="C140" s="95" t="s">
        <v>138</v>
      </c>
      <c r="D140" s="96" t="s">
        <v>11</v>
      </c>
      <c r="E140" s="98">
        <f>'R1'!K57</f>
        <v>192.76645702442198</v>
      </c>
      <c r="F140" s="98">
        <f>'R1'!L57</f>
        <v>22.046578975578043</v>
      </c>
      <c r="G140" s="98">
        <f>'R1'!M57</f>
        <v>214.81303600000001</v>
      </c>
      <c r="H140" s="137"/>
      <c r="I140" s="101"/>
      <c r="J140" s="99"/>
      <c r="K140" s="141"/>
      <c r="L140" s="225">
        <f>'R1'!AA57</f>
        <v>0</v>
      </c>
      <c r="M140" s="225">
        <f>'R1'!AB57</f>
        <v>9.4043029905079472</v>
      </c>
      <c r="N140" s="225">
        <f>'R1'!AC57</f>
        <v>9.4043029905079472</v>
      </c>
    </row>
    <row r="141" spans="3:15">
      <c r="C141" s="95" t="s">
        <v>13</v>
      </c>
      <c r="D141" s="96" t="s">
        <v>11</v>
      </c>
      <c r="E141" s="98">
        <f>'R1'!K58</f>
        <v>14.982595684822343</v>
      </c>
      <c r="F141" s="98">
        <f>'R1'!L58</f>
        <v>25.039804315177655</v>
      </c>
      <c r="G141" s="98">
        <f>'R1'!M58</f>
        <v>40.022399999999998</v>
      </c>
      <c r="H141" s="137"/>
      <c r="I141" s="101"/>
      <c r="J141" s="99"/>
      <c r="K141" s="141"/>
      <c r="L141" s="225">
        <f>'R1'!AA58</f>
        <v>0</v>
      </c>
      <c r="M141" s="225">
        <f>'R1'!AB58</f>
        <v>0</v>
      </c>
      <c r="N141" s="225">
        <f>'R1'!AC58</f>
        <v>0</v>
      </c>
    </row>
    <row r="142" spans="3:15">
      <c r="C142" s="95" t="s">
        <v>14</v>
      </c>
      <c r="D142" s="96" t="s">
        <v>11</v>
      </c>
      <c r="E142" s="98">
        <f>'R1'!K59</f>
        <v>1.8549853330013093</v>
      </c>
      <c r="F142" s="98">
        <f>'R1'!L59</f>
        <v>115.27941466699869</v>
      </c>
      <c r="G142" s="98">
        <f>'R1'!M59</f>
        <v>117.1344</v>
      </c>
      <c r="H142" s="137"/>
      <c r="I142" s="101"/>
      <c r="J142" s="99"/>
      <c r="K142" s="141"/>
      <c r="L142" s="225">
        <f>'R1'!AA59</f>
        <v>-2.0759765172567022</v>
      </c>
      <c r="M142" s="225">
        <f>'R1'!AB59</f>
        <v>44.277266080047028</v>
      </c>
      <c r="N142" s="225">
        <f>'R1'!AC59</f>
        <v>42.201289562790322</v>
      </c>
      <c r="O142" s="273"/>
    </row>
    <row r="143" spans="3:15">
      <c r="C143" s="95" t="s">
        <v>15</v>
      </c>
      <c r="D143" s="96" t="s">
        <v>11</v>
      </c>
      <c r="E143" s="98">
        <f>'R1'!K60</f>
        <v>2.0245359665940299</v>
      </c>
      <c r="F143" s="98">
        <f>'R1'!L60</f>
        <v>249.55786403340596</v>
      </c>
      <c r="G143" s="98">
        <f>'R1'!M60</f>
        <v>251.58240000000001</v>
      </c>
      <c r="H143" s="138"/>
      <c r="I143" s="99"/>
      <c r="J143" s="99"/>
      <c r="K143" s="141"/>
      <c r="L143" s="225">
        <f>'R1'!AA60</f>
        <v>3.3714408030966196</v>
      </c>
      <c r="M143" s="225">
        <f>'R1'!AB60</f>
        <v>342.27313361849434</v>
      </c>
      <c r="N143" s="225">
        <f>'R1'!AC60</f>
        <v>345.64457442159096</v>
      </c>
    </row>
    <row r="144" spans="3:15">
      <c r="C144" s="103" t="s">
        <v>16</v>
      </c>
      <c r="D144" s="96" t="s">
        <v>11</v>
      </c>
      <c r="E144" s="104">
        <f>'R1'!K61</f>
        <v>508.26857400883966</v>
      </c>
      <c r="F144" s="104">
        <f>'R1'!L61</f>
        <v>411.92366199116032</v>
      </c>
      <c r="G144" s="104">
        <f>'R1'!M61</f>
        <v>920.19223599999998</v>
      </c>
      <c r="H144" s="139"/>
      <c r="I144" s="134"/>
      <c r="J144" s="134"/>
      <c r="K144" s="140"/>
      <c r="L144" s="274">
        <f>'R1'!AA61</f>
        <v>521.57349848619799</v>
      </c>
      <c r="M144" s="274">
        <f>'R1'!AB61</f>
        <v>398.87269814356148</v>
      </c>
      <c r="N144" s="274">
        <f>'R1'!AC61</f>
        <v>920.44619662975936</v>
      </c>
    </row>
    <row r="145" spans="3:15">
      <c r="C145" s="103" t="s">
        <v>24</v>
      </c>
      <c r="D145" s="231"/>
      <c r="E145" s="232"/>
      <c r="F145" s="232"/>
      <c r="G145" s="135"/>
      <c r="H145" s="232"/>
      <c r="I145" s="232"/>
      <c r="J145" s="233"/>
      <c r="K145" s="135" t="e">
        <f>+K144/#REF!</f>
        <v>#REF!</v>
      </c>
      <c r="L145" s="444"/>
      <c r="M145" s="445"/>
      <c r="N145" s="135">
        <f>+N144/G144</f>
        <v>1.0002759864948039</v>
      </c>
    </row>
    <row r="147" spans="3:15" ht="15.75">
      <c r="C147" s="94" t="s">
        <v>21</v>
      </c>
    </row>
    <row r="148" spans="3:15" ht="15" customHeight="1">
      <c r="C148" s="245" t="s">
        <v>7</v>
      </c>
      <c r="D148" s="241">
        <v>2400</v>
      </c>
      <c r="E148" s="446" t="s">
        <v>136</v>
      </c>
      <c r="F148" s="446"/>
      <c r="G148" s="446"/>
      <c r="L148" s="447" t="s">
        <v>140</v>
      </c>
      <c r="M148" s="448"/>
      <c r="N148" s="449"/>
    </row>
    <row r="149" spans="3:15">
      <c r="C149" s="103" t="s">
        <v>9</v>
      </c>
      <c r="D149" s="247">
        <v>50.620843606342127</v>
      </c>
      <c r="E149" s="446"/>
      <c r="F149" s="446"/>
      <c r="G149" s="446"/>
      <c r="H149" s="236"/>
      <c r="K149" s="237"/>
      <c r="L149" s="450"/>
      <c r="M149" s="451"/>
      <c r="N149" s="452"/>
    </row>
    <row r="150" spans="3:15" ht="45">
      <c r="C150" s="103"/>
      <c r="D150" s="247"/>
      <c r="E150" s="389" t="s">
        <v>60</v>
      </c>
      <c r="F150" s="390" t="s">
        <v>61</v>
      </c>
      <c r="G150" s="389" t="s">
        <v>62</v>
      </c>
      <c r="H150" s="391" t="s">
        <v>4</v>
      </c>
      <c r="I150" s="391" t="s">
        <v>5</v>
      </c>
      <c r="J150" s="392" t="s">
        <v>2</v>
      </c>
      <c r="K150" s="393" t="s">
        <v>6</v>
      </c>
      <c r="L150" s="389" t="s">
        <v>60</v>
      </c>
      <c r="M150" s="390" t="s">
        <v>61</v>
      </c>
      <c r="N150" s="389" t="s">
        <v>62</v>
      </c>
    </row>
    <row r="151" spans="3:15">
      <c r="C151" s="95" t="s">
        <v>10</v>
      </c>
      <c r="D151" s="96" t="s">
        <v>11</v>
      </c>
      <c r="E151" s="97">
        <f>'R1'!K71</f>
        <v>296.64</v>
      </c>
      <c r="F151" s="97"/>
      <c r="G151" s="97">
        <f>'R1'!M71</f>
        <v>296.64</v>
      </c>
      <c r="H151" s="136" t="e">
        <f>+'R1'!#REF!</f>
        <v>#REF!</v>
      </c>
      <c r="I151" s="119" t="e">
        <f>+'R1'!#REF!</f>
        <v>#REF!</v>
      </c>
      <c r="J151" s="99" t="e">
        <f>+'R1'!#REF!</f>
        <v>#REF!</v>
      </c>
      <c r="K151" s="99" t="e">
        <f>SUM(I151:J151)</f>
        <v>#REF!</v>
      </c>
      <c r="L151" s="98">
        <f>'R1'!AA71</f>
        <v>520.27803420035798</v>
      </c>
      <c r="M151" s="98">
        <f>'R1'!AB71</f>
        <v>2.9179954545121554</v>
      </c>
      <c r="N151" s="98">
        <f>'R1'!AC71</f>
        <v>523.19602965487013</v>
      </c>
    </row>
    <row r="152" spans="3:15">
      <c r="C152" s="95" t="s">
        <v>95</v>
      </c>
      <c r="D152" s="96" t="s">
        <v>11</v>
      </c>
      <c r="E152" s="97"/>
      <c r="F152" s="97"/>
      <c r="G152" s="97"/>
      <c r="H152" s="136"/>
      <c r="I152" s="119"/>
      <c r="J152" s="99"/>
      <c r="K152" s="99"/>
      <c r="L152" s="98"/>
      <c r="M152" s="98"/>
      <c r="N152" s="98"/>
      <c r="O152" s="273"/>
    </row>
    <row r="153" spans="3:15">
      <c r="C153" s="95" t="s">
        <v>138</v>
      </c>
      <c r="D153" s="96" t="s">
        <v>11</v>
      </c>
      <c r="E153" s="97">
        <f>'R1'!K73</f>
        <v>192.76645702442198</v>
      </c>
      <c r="F153" s="97">
        <f>'R1'!L73</f>
        <v>22.046578975578043</v>
      </c>
      <c r="G153" s="97">
        <f>'R1'!M73</f>
        <v>214.81303600000001</v>
      </c>
      <c r="H153" s="101"/>
      <c r="I153" s="101"/>
      <c r="J153" s="99" t="e">
        <f>+'R1'!#REF!</f>
        <v>#REF!</v>
      </c>
      <c r="K153" s="99" t="e">
        <f t="shared" ref="K153:K156" si="8">SUM(I153:J153)</f>
        <v>#REF!</v>
      </c>
      <c r="L153" s="98">
        <f>'R1'!AA73</f>
        <v>0</v>
      </c>
      <c r="M153" s="98">
        <f>'R1'!AB73</f>
        <v>9.4043029905079472</v>
      </c>
      <c r="N153" s="98">
        <f>'R1'!AC73</f>
        <v>9.4043029905079472</v>
      </c>
    </row>
    <row r="154" spans="3:15">
      <c r="C154" s="95" t="s">
        <v>13</v>
      </c>
      <c r="D154" s="96" t="s">
        <v>11</v>
      </c>
      <c r="E154" s="97">
        <f>'R1'!K74</f>
        <v>14.982595684822343</v>
      </c>
      <c r="F154" s="97">
        <f>'R1'!L74</f>
        <v>25.039804315177655</v>
      </c>
      <c r="G154" s="97">
        <f>'R1'!M74</f>
        <v>40.022399999999998</v>
      </c>
      <c r="H154" s="101"/>
      <c r="I154" s="101"/>
      <c r="J154" s="99" t="e">
        <f>+'R1'!#REF!</f>
        <v>#REF!</v>
      </c>
      <c r="K154" s="99" t="e">
        <f t="shared" si="8"/>
        <v>#REF!</v>
      </c>
      <c r="L154" s="98">
        <f>'R1'!AA74</f>
        <v>0</v>
      </c>
      <c r="M154" s="98">
        <f>'R1'!AB74</f>
        <v>0</v>
      </c>
      <c r="N154" s="98">
        <f>'R1'!AC74</f>
        <v>0</v>
      </c>
    </row>
    <row r="155" spans="3:15">
      <c r="C155" s="95" t="s">
        <v>14</v>
      </c>
      <c r="D155" s="96" t="s">
        <v>11</v>
      </c>
      <c r="E155" s="97">
        <f>'R1'!K75</f>
        <v>1.8549853330013093</v>
      </c>
      <c r="F155" s="97">
        <f>'R1'!L75</f>
        <v>115.27941466699869</v>
      </c>
      <c r="G155" s="97">
        <f>'R1'!M75</f>
        <v>117.1344</v>
      </c>
      <c r="H155" s="101"/>
      <c r="I155" s="101"/>
      <c r="J155" s="99" t="e">
        <f>+'R1'!#REF!</f>
        <v>#REF!</v>
      </c>
      <c r="K155" s="99" t="e">
        <f t="shared" si="8"/>
        <v>#REF!</v>
      </c>
      <c r="L155" s="98">
        <f>'R1'!AA75</f>
        <v>-2.0759765172567022</v>
      </c>
      <c r="M155" s="98">
        <f>'R1'!AB75</f>
        <v>44.277266080047028</v>
      </c>
      <c r="N155" s="98">
        <f>'R1'!AC75</f>
        <v>42.201289562790322</v>
      </c>
    </row>
    <row r="156" spans="3:15">
      <c r="C156" s="95" t="s">
        <v>15</v>
      </c>
      <c r="D156" s="96" t="s">
        <v>11</v>
      </c>
      <c r="E156" s="97">
        <f>'R1'!K76</f>
        <v>2.0245359665940299</v>
      </c>
      <c r="F156" s="97">
        <f>'R1'!L76</f>
        <v>249.55786403340596</v>
      </c>
      <c r="G156" s="97">
        <f>'R1'!M76</f>
        <v>251.58240000000001</v>
      </c>
      <c r="H156" s="100" t="e">
        <f>+I156/$D$62</f>
        <v>#REF!</v>
      </c>
      <c r="I156" s="99" t="e">
        <f>+'R1'!#REF!</f>
        <v>#REF!</v>
      </c>
      <c r="J156" s="99" t="e">
        <f>+'R1'!#REF!</f>
        <v>#REF!</v>
      </c>
      <c r="K156" s="99" t="e">
        <f t="shared" si="8"/>
        <v>#REF!</v>
      </c>
      <c r="L156" s="98">
        <f>'R1'!AA76</f>
        <v>3.3714408030966196</v>
      </c>
      <c r="M156" s="98">
        <f>'R1'!AB76</f>
        <v>342.27313361849434</v>
      </c>
      <c r="N156" s="98">
        <f>'R1'!AC76</f>
        <v>345.64457442159096</v>
      </c>
    </row>
    <row r="157" spans="3:15">
      <c r="C157" s="103" t="s">
        <v>16</v>
      </c>
      <c r="D157" s="96" t="s">
        <v>11</v>
      </c>
      <c r="E157" s="142">
        <f>'R1'!K77</f>
        <v>508.26857400883966</v>
      </c>
      <c r="F157" s="142">
        <f>'R1'!L77</f>
        <v>411.92366199116032</v>
      </c>
      <c r="G157" s="142">
        <f>'R1'!M77</f>
        <v>920.19223599999998</v>
      </c>
      <c r="H157" s="101"/>
      <c r="I157" s="104" t="e">
        <f>SUM(I151:I156)</f>
        <v>#REF!</v>
      </c>
      <c r="J157" s="104" t="e">
        <f>SUM(J151:J156)</f>
        <v>#REF!</v>
      </c>
      <c r="K157" s="104" t="e">
        <f>SUM(K151:K156)</f>
        <v>#REF!</v>
      </c>
      <c r="L157" s="104">
        <f>'R1'!AA77</f>
        <v>521.57349848619799</v>
      </c>
      <c r="M157" s="104">
        <f>'R1'!AB77</f>
        <v>398.87269814356148</v>
      </c>
      <c r="N157" s="104">
        <f>'R1'!AC77</f>
        <v>920.44619662975936</v>
      </c>
    </row>
    <row r="158" spans="3:15">
      <c r="C158" s="103" t="s">
        <v>24</v>
      </c>
      <c r="D158" s="231"/>
      <c r="E158" s="232"/>
      <c r="F158" s="232"/>
      <c r="G158" s="135"/>
      <c r="H158" s="232"/>
      <c r="I158" s="232"/>
      <c r="J158" s="233"/>
      <c r="K158" s="135" t="e">
        <f>+K157/#REF!</f>
        <v>#REF!</v>
      </c>
      <c r="L158" s="444"/>
      <c r="M158" s="445"/>
      <c r="N158" s="135">
        <f>+N157/G157</f>
        <v>1.0002759864948039</v>
      </c>
    </row>
    <row r="160" spans="3:15" ht="15.75">
      <c r="C160" s="94" t="s">
        <v>22</v>
      </c>
    </row>
    <row r="161" spans="3:15" ht="15" customHeight="1">
      <c r="C161" s="245" t="s">
        <v>7</v>
      </c>
      <c r="D161" s="241">
        <v>2400</v>
      </c>
      <c r="E161" s="446" t="s">
        <v>136</v>
      </c>
      <c r="F161" s="446"/>
      <c r="G161" s="446"/>
      <c r="L161" s="447" t="s">
        <v>140</v>
      </c>
      <c r="M161" s="448"/>
      <c r="N161" s="449"/>
    </row>
    <row r="162" spans="3:15">
      <c r="C162" s="103" t="s">
        <v>9</v>
      </c>
      <c r="D162" s="247">
        <v>16.041569057843905</v>
      </c>
      <c r="E162" s="446"/>
      <c r="F162" s="446"/>
      <c r="G162" s="446"/>
      <c r="H162" s="236"/>
      <c r="K162" s="237"/>
      <c r="L162" s="450"/>
      <c r="M162" s="451"/>
      <c r="N162" s="452"/>
      <c r="O162" s="273"/>
    </row>
    <row r="163" spans="3:15" ht="45">
      <c r="C163" s="103"/>
      <c r="D163" s="247"/>
      <c r="E163" s="389" t="s">
        <v>60</v>
      </c>
      <c r="F163" s="390" t="s">
        <v>61</v>
      </c>
      <c r="G163" s="389" t="s">
        <v>62</v>
      </c>
      <c r="H163" s="391" t="s">
        <v>4</v>
      </c>
      <c r="I163" s="391" t="s">
        <v>5</v>
      </c>
      <c r="J163" s="392" t="s">
        <v>2</v>
      </c>
      <c r="K163" s="393" t="s">
        <v>6</v>
      </c>
      <c r="L163" s="389" t="s">
        <v>60</v>
      </c>
      <c r="M163" s="390" t="s">
        <v>61</v>
      </c>
      <c r="N163" s="389" t="s">
        <v>62</v>
      </c>
    </row>
    <row r="164" spans="3:15">
      <c r="C164" s="95" t="s">
        <v>10</v>
      </c>
      <c r="D164" s="96" t="s">
        <v>11</v>
      </c>
      <c r="E164" s="97">
        <f>'R1'!K85</f>
        <v>296.64</v>
      </c>
      <c r="F164" s="97"/>
      <c r="G164" s="97">
        <f>'R1'!M85</f>
        <v>296.64</v>
      </c>
      <c r="H164" s="136" t="e">
        <f>+'R1'!#REF!</f>
        <v>#REF!</v>
      </c>
      <c r="I164" s="119" t="e">
        <f>+'R1'!#REF!</f>
        <v>#REF!</v>
      </c>
      <c r="J164" s="99" t="e">
        <f>+'R1'!#REF!</f>
        <v>#REF!</v>
      </c>
      <c r="K164" s="99" t="e">
        <f>SUM(I164:J164)</f>
        <v>#REF!</v>
      </c>
      <c r="L164" s="98">
        <f>'R1'!AA85</f>
        <v>520.27803420035798</v>
      </c>
      <c r="M164" s="98">
        <f>'R1'!AB85</f>
        <v>2.9179954545121554</v>
      </c>
      <c r="N164" s="98">
        <f>'R1'!AC85</f>
        <v>523.19602965487013</v>
      </c>
    </row>
    <row r="165" spans="3:15">
      <c r="C165" s="95" t="s">
        <v>95</v>
      </c>
      <c r="D165" s="96" t="s">
        <v>11</v>
      </c>
      <c r="E165" s="97"/>
      <c r="F165" s="97"/>
      <c r="G165" s="97"/>
      <c r="H165" s="136"/>
      <c r="I165" s="119"/>
      <c r="J165" s="99"/>
      <c r="K165" s="99"/>
      <c r="L165" s="98"/>
      <c r="M165" s="98"/>
      <c r="N165" s="98"/>
    </row>
    <row r="166" spans="3:15">
      <c r="C166" s="95" t="s">
        <v>138</v>
      </c>
      <c r="D166" s="96" t="s">
        <v>11</v>
      </c>
      <c r="E166" s="97">
        <f>'R1'!K87</f>
        <v>192.76645702442198</v>
      </c>
      <c r="F166" s="97">
        <f>'R1'!L87</f>
        <v>22.046578975578043</v>
      </c>
      <c r="G166" s="97">
        <f>'R1'!M87</f>
        <v>214.81303600000001</v>
      </c>
      <c r="H166" s="101"/>
      <c r="I166" s="101"/>
      <c r="J166" s="99" t="e">
        <f>+'R1'!#REF!</f>
        <v>#REF!</v>
      </c>
      <c r="K166" s="99" t="e">
        <f t="shared" ref="K166:K169" si="9">SUM(I166:J166)</f>
        <v>#REF!</v>
      </c>
      <c r="L166" s="98">
        <f>'R1'!AA87</f>
        <v>0</v>
      </c>
      <c r="M166" s="98">
        <f>'R1'!AB87</f>
        <v>9.4043029905079472</v>
      </c>
      <c r="N166" s="98">
        <f>'R1'!AC87</f>
        <v>9.4043029905079472</v>
      </c>
    </row>
    <row r="167" spans="3:15">
      <c r="C167" s="95" t="s">
        <v>13</v>
      </c>
      <c r="D167" s="96" t="s">
        <v>11</v>
      </c>
      <c r="E167" s="97">
        <f>'R1'!K88</f>
        <v>14.982595684822343</v>
      </c>
      <c r="F167" s="97">
        <f>'R1'!L88</f>
        <v>25.039804315177655</v>
      </c>
      <c r="G167" s="97">
        <f>'R1'!M88</f>
        <v>40.022399999999998</v>
      </c>
      <c r="H167" s="101"/>
      <c r="I167" s="101"/>
      <c r="J167" s="99" t="e">
        <f>+'R1'!#REF!</f>
        <v>#REF!</v>
      </c>
      <c r="K167" s="99" t="e">
        <f t="shared" si="9"/>
        <v>#REF!</v>
      </c>
      <c r="L167" s="98">
        <f>'R1'!AA88</f>
        <v>0</v>
      </c>
      <c r="M167" s="98">
        <f>'R1'!AB88</f>
        <v>0</v>
      </c>
      <c r="N167" s="98">
        <f>'R1'!AC88</f>
        <v>0</v>
      </c>
    </row>
    <row r="168" spans="3:15">
      <c r="C168" s="95" t="s">
        <v>14</v>
      </c>
      <c r="D168" s="96" t="s">
        <v>11</v>
      </c>
      <c r="E168" s="97">
        <f>'R1'!K89</f>
        <v>1.8549853330013093</v>
      </c>
      <c r="F168" s="97">
        <f>'R1'!L89</f>
        <v>115.27941466699869</v>
      </c>
      <c r="G168" s="97">
        <f>'R1'!M89</f>
        <v>117.1344</v>
      </c>
      <c r="H168" s="101"/>
      <c r="I168" s="101"/>
      <c r="J168" s="99" t="e">
        <f>+'R1'!#REF!</f>
        <v>#REF!</v>
      </c>
      <c r="K168" s="99" t="e">
        <f t="shared" si="9"/>
        <v>#REF!</v>
      </c>
      <c r="L168" s="98">
        <f>'R1'!AA89</f>
        <v>-2.0759765172567022</v>
      </c>
      <c r="M168" s="98">
        <f>'R1'!AB89</f>
        <v>44.277266080047028</v>
      </c>
      <c r="N168" s="98">
        <f>'R1'!AC89</f>
        <v>42.201289562790322</v>
      </c>
    </row>
    <row r="169" spans="3:15">
      <c r="C169" s="95" t="s">
        <v>15</v>
      </c>
      <c r="D169" s="96" t="s">
        <v>11</v>
      </c>
      <c r="E169" s="97">
        <f>'R1'!K90</f>
        <v>2.0245359665940299</v>
      </c>
      <c r="F169" s="97">
        <f>'R1'!L90</f>
        <v>249.55786403340596</v>
      </c>
      <c r="G169" s="97">
        <f>'R1'!M90</f>
        <v>251.58240000000001</v>
      </c>
      <c r="H169" s="100" t="e">
        <f>+I169/$D$75</f>
        <v>#REF!</v>
      </c>
      <c r="I169" s="99" t="e">
        <f>+'R1'!#REF!</f>
        <v>#REF!</v>
      </c>
      <c r="J169" s="99" t="e">
        <f>+'R1'!#REF!</f>
        <v>#REF!</v>
      </c>
      <c r="K169" s="99" t="e">
        <f t="shared" si="9"/>
        <v>#REF!</v>
      </c>
      <c r="L169" s="98">
        <f>'R1'!AA90</f>
        <v>3.3714408030966196</v>
      </c>
      <c r="M169" s="98">
        <f>'R1'!AB90</f>
        <v>342.27313361849434</v>
      </c>
      <c r="N169" s="98">
        <f>'R1'!AC90</f>
        <v>345.64457442159096</v>
      </c>
    </row>
    <row r="170" spans="3:15">
      <c r="C170" s="103" t="s">
        <v>16</v>
      </c>
      <c r="D170" s="96" t="s">
        <v>11</v>
      </c>
      <c r="E170" s="142">
        <f>'R1'!K91</f>
        <v>508.26857400883966</v>
      </c>
      <c r="F170" s="142">
        <f>'R1'!L91</f>
        <v>411.92366199116032</v>
      </c>
      <c r="G170" s="142">
        <f>'R1'!M91</f>
        <v>920.19223599999998</v>
      </c>
      <c r="H170" s="101"/>
      <c r="I170" s="104" t="e">
        <f>SUM(I164:I169)</f>
        <v>#REF!</v>
      </c>
      <c r="J170" s="104" t="e">
        <f>SUM(J164:J169)</f>
        <v>#REF!</v>
      </c>
      <c r="K170" s="104" t="e">
        <f>SUM(K164:K169)</f>
        <v>#REF!</v>
      </c>
      <c r="L170" s="104">
        <f>'R1'!AA91</f>
        <v>521.57349848619799</v>
      </c>
      <c r="M170" s="104">
        <f>'R1'!AB91</f>
        <v>398.87269814356148</v>
      </c>
      <c r="N170" s="104">
        <f>'R1'!AC91</f>
        <v>920.44619662975936</v>
      </c>
    </row>
    <row r="171" spans="3:15">
      <c r="C171" s="103" t="s">
        <v>24</v>
      </c>
      <c r="D171" s="231"/>
      <c r="E171" s="232"/>
      <c r="F171" s="232"/>
      <c r="G171" s="135"/>
      <c r="H171" s="232"/>
      <c r="I171" s="232"/>
      <c r="J171" s="233"/>
      <c r="K171" s="135" t="e">
        <f>+K170/#REF!</f>
        <v>#REF!</v>
      </c>
      <c r="L171" s="444"/>
      <c r="M171" s="445"/>
      <c r="N171" s="135">
        <f>+N170/G170</f>
        <v>1.0002759864948039</v>
      </c>
    </row>
    <row r="175" spans="3:15" ht="18.75">
      <c r="C175" s="107" t="s">
        <v>141</v>
      </c>
    </row>
    <row r="176" spans="3:15">
      <c r="C176" s="275" t="s">
        <v>0</v>
      </c>
    </row>
    <row r="177" spans="3:14" ht="15" customHeight="1">
      <c r="C177" s="108" t="s">
        <v>7</v>
      </c>
      <c r="D177" s="241">
        <v>2400</v>
      </c>
      <c r="E177" s="446" t="s">
        <v>136</v>
      </c>
      <c r="F177" s="446"/>
      <c r="G177" s="446"/>
      <c r="L177" s="447" t="s">
        <v>142</v>
      </c>
      <c r="M177" s="448"/>
      <c r="N177" s="449"/>
    </row>
    <row r="178" spans="3:14">
      <c r="C178" s="103" t="s">
        <v>9</v>
      </c>
      <c r="D178" s="242">
        <v>24.362687338309179</v>
      </c>
      <c r="E178" s="446"/>
      <c r="F178" s="446"/>
      <c r="G178" s="446"/>
      <c r="H178" s="236"/>
      <c r="K178" s="237"/>
      <c r="L178" s="450"/>
      <c r="M178" s="451"/>
      <c r="N178" s="452"/>
    </row>
    <row r="179" spans="3:14" ht="45">
      <c r="C179" s="103"/>
      <c r="D179" s="242"/>
      <c r="E179" s="389" t="s">
        <v>60</v>
      </c>
      <c r="F179" s="390" t="s">
        <v>61</v>
      </c>
      <c r="G179" s="389" t="s">
        <v>62</v>
      </c>
      <c r="H179" s="391" t="s">
        <v>4</v>
      </c>
      <c r="I179" s="391" t="s">
        <v>5</v>
      </c>
      <c r="J179" s="392" t="s">
        <v>2</v>
      </c>
      <c r="K179" s="393" t="s">
        <v>6</v>
      </c>
      <c r="L179" s="389" t="s">
        <v>60</v>
      </c>
      <c r="M179" s="390" t="s">
        <v>61</v>
      </c>
      <c r="N179" s="389" t="s">
        <v>62</v>
      </c>
    </row>
    <row r="180" spans="3:14">
      <c r="C180" s="95" t="s">
        <v>10</v>
      </c>
      <c r="D180" s="240" t="s">
        <v>11</v>
      </c>
      <c r="E180" s="348">
        <f>'R1'!K55</f>
        <v>296.64</v>
      </c>
      <c r="F180" s="348"/>
      <c r="G180" s="348">
        <f>'R1'!M55</f>
        <v>296.64</v>
      </c>
      <c r="H180" s="350" t="e">
        <f>+'R1'!#REF!</f>
        <v>#REF!</v>
      </c>
      <c r="I180" s="350" t="e">
        <f>+'R1'!#REF!</f>
        <v>#REF!</v>
      </c>
      <c r="J180" s="351" t="e">
        <f>+'R1'!#REF!</f>
        <v>#REF!</v>
      </c>
      <c r="K180" s="351" t="e">
        <f>SUM(I180:J180)</f>
        <v>#REF!</v>
      </c>
      <c r="L180" s="349">
        <f>'R1'!AI55</f>
        <v>349.17132188263611</v>
      </c>
      <c r="M180" s="349"/>
      <c r="N180" s="349">
        <f>'R1'!AK55</f>
        <v>349.17132188263611</v>
      </c>
    </row>
    <row r="181" spans="3:14">
      <c r="C181" s="95" t="s">
        <v>95</v>
      </c>
      <c r="D181" s="96" t="s">
        <v>11</v>
      </c>
      <c r="E181" s="348"/>
      <c r="F181" s="348"/>
      <c r="G181" s="348"/>
      <c r="H181" s="350"/>
      <c r="I181" s="350"/>
      <c r="J181" s="351"/>
      <c r="K181" s="351"/>
      <c r="L181" s="349"/>
      <c r="M181" s="349"/>
      <c r="N181" s="349"/>
    </row>
    <row r="182" spans="3:14">
      <c r="C182" s="95" t="s">
        <v>138</v>
      </c>
      <c r="D182" s="96" t="s">
        <v>11</v>
      </c>
      <c r="E182" s="348">
        <f>'R1'!K57</f>
        <v>192.76645702442198</v>
      </c>
      <c r="F182" s="348">
        <f>'R1'!L57</f>
        <v>22.046578975578043</v>
      </c>
      <c r="G182" s="348">
        <f>'R1'!M57</f>
        <v>214.81303600000001</v>
      </c>
      <c r="H182" s="352"/>
      <c r="I182" s="352"/>
      <c r="J182" s="351" t="e">
        <f>+'R1'!#REF!</f>
        <v>#REF!</v>
      </c>
      <c r="K182" s="351" t="e">
        <f t="shared" ref="K182:K185" si="10">SUM(I182:J182)</f>
        <v>#REF!</v>
      </c>
      <c r="L182" s="349">
        <f>'R1'!AI57</f>
        <v>172.3607477704457</v>
      </c>
      <c r="M182" s="349">
        <f>'R1'!AJ57</f>
        <v>12.34368433749199</v>
      </c>
      <c r="N182" s="349">
        <f>'R1'!AK57</f>
        <v>184.70443210793769</v>
      </c>
    </row>
    <row r="183" spans="3:14">
      <c r="C183" s="95" t="s">
        <v>13</v>
      </c>
      <c r="D183" s="96" t="s">
        <v>11</v>
      </c>
      <c r="E183" s="348">
        <f>'R1'!K58</f>
        <v>14.982595684822343</v>
      </c>
      <c r="F183" s="348">
        <f>'R1'!L58</f>
        <v>25.039804315177655</v>
      </c>
      <c r="G183" s="348">
        <f>'R1'!M58</f>
        <v>40.022399999999998</v>
      </c>
      <c r="H183" s="352"/>
      <c r="I183" s="352"/>
      <c r="J183" s="351" t="e">
        <f>+'R1'!#REF!</f>
        <v>#REF!</v>
      </c>
      <c r="K183" s="351" t="e">
        <f t="shared" si="10"/>
        <v>#REF!</v>
      </c>
      <c r="L183" s="349">
        <f>'R1'!AI58</f>
        <v>0</v>
      </c>
      <c r="M183" s="349">
        <f>'R1'!AJ58</f>
        <v>0</v>
      </c>
      <c r="N183" s="349">
        <f>'R1'!AK58</f>
        <v>0</v>
      </c>
    </row>
    <row r="184" spans="3:14">
      <c r="C184" s="95" t="s">
        <v>14</v>
      </c>
      <c r="D184" s="96" t="s">
        <v>11</v>
      </c>
      <c r="E184" s="348">
        <f>'R1'!K59</f>
        <v>1.8549853330013093</v>
      </c>
      <c r="F184" s="348">
        <f>'R1'!L59</f>
        <v>115.27941466699869</v>
      </c>
      <c r="G184" s="348">
        <f>'R1'!M59</f>
        <v>117.1344</v>
      </c>
      <c r="H184" s="352"/>
      <c r="I184" s="352"/>
      <c r="J184" s="351" t="e">
        <f>+'R1'!#REF!</f>
        <v>#REF!</v>
      </c>
      <c r="K184" s="351" t="e">
        <f t="shared" si="10"/>
        <v>#REF!</v>
      </c>
      <c r="L184" s="349">
        <f>'R1'!AI59</f>
        <v>-2.0759765172567022</v>
      </c>
      <c r="M184" s="349">
        <f>'R1'!AJ59</f>
        <v>44.277266080047028</v>
      </c>
      <c r="N184" s="349">
        <f>'R1'!AK59</f>
        <v>42.201289562790322</v>
      </c>
    </row>
    <row r="185" spans="3:14">
      <c r="C185" s="95" t="s">
        <v>15</v>
      </c>
      <c r="D185" s="96" t="s">
        <v>11</v>
      </c>
      <c r="E185" s="348">
        <f>'R1'!K60</f>
        <v>2.0245359665940299</v>
      </c>
      <c r="F185" s="348">
        <f>'R1'!L60</f>
        <v>249.55786403340596</v>
      </c>
      <c r="G185" s="348">
        <f>'R1'!M60</f>
        <v>251.58240000000001</v>
      </c>
      <c r="H185" s="353" t="e">
        <f>+I185/$D$6</f>
        <v>#REF!</v>
      </c>
      <c r="I185" s="351" t="e">
        <f>+'R1'!#REF!</f>
        <v>#REF!</v>
      </c>
      <c r="J185" s="351" t="e">
        <f>+'R1'!#REF!</f>
        <v>#REF!</v>
      </c>
      <c r="K185" s="351" t="e">
        <f t="shared" si="10"/>
        <v>#REF!</v>
      </c>
      <c r="L185" s="349">
        <f>'R1'!AI60</f>
        <v>3.3714408030966196</v>
      </c>
      <c r="M185" s="349">
        <f>'R1'!AJ60</f>
        <v>342.27313361849434</v>
      </c>
      <c r="N185" s="349">
        <f>'R1'!AK60</f>
        <v>345.64457442159096</v>
      </c>
    </row>
    <row r="186" spans="3:14">
      <c r="C186" s="133" t="s">
        <v>16</v>
      </c>
      <c r="D186" s="102" t="s">
        <v>11</v>
      </c>
      <c r="E186" s="354">
        <f>'R1'!K61</f>
        <v>508.26857400883966</v>
      </c>
      <c r="F186" s="354">
        <f>'R1'!L61</f>
        <v>411.92366199116032</v>
      </c>
      <c r="G186" s="354">
        <f>'R1'!M61</f>
        <v>920.19223599999998</v>
      </c>
      <c r="H186" s="356"/>
      <c r="I186" s="355" t="e">
        <f>SUM(I180:I185)</f>
        <v>#REF!</v>
      </c>
      <c r="J186" s="355" t="e">
        <f>SUM(J180:J185)</f>
        <v>#REF!</v>
      </c>
      <c r="K186" s="357" t="e">
        <f>SUM(K180:K185)</f>
        <v>#REF!</v>
      </c>
      <c r="L186" s="357">
        <f>'R1'!AI61</f>
        <v>522.82753393892187</v>
      </c>
      <c r="M186" s="357">
        <f>'R1'!AJ61</f>
        <v>398.89408403603335</v>
      </c>
      <c r="N186" s="357">
        <f>'R1'!AK61</f>
        <v>921.72161797495505</v>
      </c>
    </row>
    <row r="187" spans="3:14">
      <c r="C187" s="103" t="s">
        <v>24</v>
      </c>
      <c r="D187" s="226"/>
      <c r="E187" s="358"/>
      <c r="F187" s="358"/>
      <c r="G187" s="360"/>
      <c r="H187" s="361"/>
      <c r="I187" s="358"/>
      <c r="J187" s="359"/>
      <c r="K187" s="362" t="e">
        <f>+K186/#REF!</f>
        <v>#REF!</v>
      </c>
      <c r="L187" s="455"/>
      <c r="M187" s="456"/>
      <c r="N187" s="362">
        <f>+N186/G186</f>
        <v>1.0016620244282903</v>
      </c>
    </row>
    <row r="188" spans="3:14" ht="3" customHeight="1"/>
    <row r="189" spans="3:14" ht="15.75">
      <c r="C189" s="93" t="s">
        <v>17</v>
      </c>
    </row>
    <row r="190" spans="3:14">
      <c r="C190" s="245" t="s">
        <v>7</v>
      </c>
      <c r="D190" s="241">
        <v>1081</v>
      </c>
      <c r="E190" s="446" t="s">
        <v>136</v>
      </c>
      <c r="F190" s="446"/>
      <c r="G190" s="446"/>
      <c r="H190" s="411"/>
      <c r="I190" s="411"/>
      <c r="J190" s="411"/>
      <c r="K190" s="411"/>
      <c r="L190" s="447" t="s">
        <v>142</v>
      </c>
      <c r="M190" s="448"/>
      <c r="N190" s="449"/>
    </row>
    <row r="191" spans="3:14">
      <c r="C191" s="103" t="s">
        <v>9</v>
      </c>
      <c r="D191" s="247">
        <v>10.973360421963427</v>
      </c>
      <c r="E191" s="446"/>
      <c r="F191" s="446"/>
      <c r="G191" s="446"/>
      <c r="H191" s="411"/>
      <c r="I191" s="411"/>
      <c r="J191" s="411"/>
      <c r="K191" s="411"/>
      <c r="L191" s="450"/>
      <c r="M191" s="451"/>
      <c r="N191" s="452"/>
    </row>
    <row r="192" spans="3:14" ht="45">
      <c r="C192" s="103"/>
      <c r="D192" s="248"/>
      <c r="E192" s="389" t="s">
        <v>60</v>
      </c>
      <c r="F192" s="390" t="s">
        <v>61</v>
      </c>
      <c r="G192" s="389" t="s">
        <v>62</v>
      </c>
      <c r="H192" s="391" t="s">
        <v>4</v>
      </c>
      <c r="I192" s="391" t="s">
        <v>5</v>
      </c>
      <c r="J192" s="392" t="s">
        <v>2</v>
      </c>
      <c r="K192" s="393" t="s">
        <v>6</v>
      </c>
      <c r="L192" s="389" t="s">
        <v>60</v>
      </c>
      <c r="M192" s="390" t="s">
        <v>61</v>
      </c>
      <c r="N192" s="389" t="s">
        <v>62</v>
      </c>
    </row>
    <row r="193" spans="3:14">
      <c r="C193" s="95" t="s">
        <v>10</v>
      </c>
      <c r="D193" s="246" t="s">
        <v>11</v>
      </c>
      <c r="E193" s="97">
        <f>'R1'!K41</f>
        <v>296.64</v>
      </c>
      <c r="F193" s="97"/>
      <c r="G193" s="97">
        <f>'R1'!M41</f>
        <v>296.64</v>
      </c>
      <c r="H193" s="136" t="e">
        <f>+'R1'!#REF!</f>
        <v>#REF!</v>
      </c>
      <c r="I193" s="119" t="e">
        <f>+'R1'!#REF!</f>
        <v>#REF!</v>
      </c>
      <c r="J193" s="99" t="e">
        <f>+'R1'!#REF!</f>
        <v>#REF!</v>
      </c>
      <c r="K193" s="141" t="e">
        <f>SUM(I193:J193)</f>
        <v>#REF!</v>
      </c>
      <c r="L193" s="225">
        <f>'R1'!AI41</f>
        <v>349.17132188263611</v>
      </c>
      <c r="M193" s="225">
        <f>'R1'!AJ41</f>
        <v>0</v>
      </c>
      <c r="N193" s="225">
        <f>'R1'!AK41</f>
        <v>349.17132188263611</v>
      </c>
    </row>
    <row r="194" spans="3:14">
      <c r="C194" s="95" t="s">
        <v>95</v>
      </c>
      <c r="D194" s="96" t="s">
        <v>11</v>
      </c>
      <c r="E194" s="97"/>
      <c r="F194" s="97"/>
      <c r="G194" s="97"/>
      <c r="H194" s="136"/>
      <c r="I194" s="119"/>
      <c r="J194" s="99"/>
      <c r="K194" s="141"/>
      <c r="L194" s="225"/>
      <c r="M194" s="225"/>
      <c r="N194" s="225"/>
    </row>
    <row r="195" spans="3:14">
      <c r="C195" s="95" t="s">
        <v>138</v>
      </c>
      <c r="D195" s="96" t="s">
        <v>11</v>
      </c>
      <c r="E195" s="97">
        <f>'R1'!K43</f>
        <v>92.963875853992107</v>
      </c>
      <c r="F195" s="97">
        <f>'R1'!L43</f>
        <v>9.8719081460079146</v>
      </c>
      <c r="G195" s="97">
        <f>'R1'!M43</f>
        <v>102.83578400000002</v>
      </c>
      <c r="H195" s="137"/>
      <c r="I195" s="101"/>
      <c r="J195" s="99" t="e">
        <f>+'R1'!#REF!</f>
        <v>#REF!</v>
      </c>
      <c r="K195" s="141" t="e">
        <f t="shared" ref="K195:K198" si="11">SUM(I195:J195)</f>
        <v>#REF!</v>
      </c>
      <c r="L195" s="225">
        <f>'R1'!AI43</f>
        <v>77.634153474938245</v>
      </c>
      <c r="M195" s="225">
        <f>'R1'!AJ43</f>
        <v>5.5598011536786833</v>
      </c>
      <c r="N195" s="225">
        <f>'R1'!AK43</f>
        <v>83.193954628616922</v>
      </c>
    </row>
    <row r="196" spans="3:14">
      <c r="C196" s="95" t="s">
        <v>13</v>
      </c>
      <c r="D196" s="96" t="s">
        <v>11</v>
      </c>
      <c r="E196" s="97">
        <f>'R1'!K44</f>
        <v>6.748410806372064</v>
      </c>
      <c r="F196" s="97">
        <f>'R1'!L44</f>
        <v>11.278345193627937</v>
      </c>
      <c r="G196" s="97">
        <f>'R1'!M44</f>
        <v>18.026755999999999</v>
      </c>
      <c r="H196" s="137"/>
      <c r="I196" s="101"/>
      <c r="J196" s="99" t="e">
        <f>+'R1'!#REF!</f>
        <v>#REF!</v>
      </c>
      <c r="K196" s="141" t="e">
        <f t="shared" si="11"/>
        <v>#REF!</v>
      </c>
      <c r="L196" s="225">
        <f>'R1'!AI44</f>
        <v>0</v>
      </c>
      <c r="M196" s="225">
        <f>'R1'!AJ44</f>
        <v>0</v>
      </c>
      <c r="N196" s="225">
        <f>'R1'!AK44</f>
        <v>0</v>
      </c>
    </row>
    <row r="197" spans="3:14">
      <c r="C197" s="95" t="s">
        <v>14</v>
      </c>
      <c r="D197" s="96" t="s">
        <v>11</v>
      </c>
      <c r="E197" s="97">
        <f>'R1'!K45</f>
        <v>0.83551631040600649</v>
      </c>
      <c r="F197" s="97">
        <f>'R1'!L45</f>
        <v>51.923769689593996</v>
      </c>
      <c r="G197" s="97">
        <f>'R1'!M45</f>
        <v>52.759286000000003</v>
      </c>
      <c r="H197" s="137"/>
      <c r="I197" s="101"/>
      <c r="J197" s="99" t="e">
        <f>+'R1'!#REF!</f>
        <v>#REF!</v>
      </c>
      <c r="K197" s="141" t="e">
        <f t="shared" si="11"/>
        <v>#REF!</v>
      </c>
      <c r="L197" s="225">
        <f>'R1'!AI45</f>
        <v>-0.93505442298103958</v>
      </c>
      <c r="M197" s="225">
        <f>'R1'!AJ45</f>
        <v>19.943218596887849</v>
      </c>
      <c r="N197" s="225">
        <f>'R1'!AK45</f>
        <v>19.00816417390681</v>
      </c>
    </row>
    <row r="198" spans="3:14">
      <c r="C198" s="95" t="s">
        <v>15</v>
      </c>
      <c r="D198" s="96" t="s">
        <v>11</v>
      </c>
      <c r="E198" s="97">
        <f>'R1'!K46</f>
        <v>0.91188474162006095</v>
      </c>
      <c r="F198" s="97">
        <f>'R1'!L46</f>
        <v>112.40502125837993</v>
      </c>
      <c r="G198" s="97">
        <f>'R1'!M46</f>
        <v>113.31690599999999</v>
      </c>
      <c r="H198" s="138" t="e">
        <f>+I198/$D$18</f>
        <v>#REF!</v>
      </c>
      <c r="I198" s="99" t="e">
        <f>+'R1'!#REF!</f>
        <v>#REF!</v>
      </c>
      <c r="J198" s="99" t="e">
        <f>+'R1'!#REF!</f>
        <v>#REF!</v>
      </c>
      <c r="K198" s="141" t="e">
        <f t="shared" si="11"/>
        <v>#REF!</v>
      </c>
      <c r="L198" s="225">
        <f>'R1'!AI46</f>
        <v>1.5185531283947691</v>
      </c>
      <c r="M198" s="225">
        <f>'R1'!AJ46</f>
        <v>154.16552393399684</v>
      </c>
      <c r="N198" s="225">
        <f>'R1'!AK46</f>
        <v>155.68407706239159</v>
      </c>
    </row>
    <row r="199" spans="3:14">
      <c r="C199" s="103" t="s">
        <v>16</v>
      </c>
      <c r="D199" s="96" t="s">
        <v>11</v>
      </c>
      <c r="E199" s="142">
        <f>'R1'!K47</f>
        <v>398.09968771239022</v>
      </c>
      <c r="F199" s="142">
        <f>'R1'!L47</f>
        <v>185.47904428760978</v>
      </c>
      <c r="G199" s="142">
        <f>'R1'!M47</f>
        <v>583.57873199999995</v>
      </c>
      <c r="H199" s="137"/>
      <c r="I199" s="104" t="e">
        <f>SUM(I193:I198)</f>
        <v>#REF!</v>
      </c>
      <c r="J199" s="104" t="e">
        <f>SUM(J193:J198)</f>
        <v>#REF!</v>
      </c>
      <c r="K199" s="140" t="e">
        <f>SUM(K193:K198)</f>
        <v>#REF!</v>
      </c>
      <c r="L199" s="274">
        <f>'R1'!AI47</f>
        <v>427.3889740629881</v>
      </c>
      <c r="M199" s="274">
        <f>'R1'!AJ47</f>
        <v>179.66854368456336</v>
      </c>
      <c r="N199" s="274">
        <f>'R1'!AK47</f>
        <v>607.0575177475514</v>
      </c>
    </row>
    <row r="200" spans="3:14">
      <c r="C200" s="103" t="s">
        <v>24</v>
      </c>
      <c r="D200" s="231"/>
      <c r="E200" s="232"/>
      <c r="F200" s="232"/>
      <c r="G200" s="238"/>
      <c r="H200" s="232"/>
      <c r="I200" s="232"/>
      <c r="J200" s="233"/>
      <c r="K200" s="135" t="e">
        <f>+K199/#REF!</f>
        <v>#REF!</v>
      </c>
      <c r="L200" s="444"/>
      <c r="M200" s="445"/>
      <c r="N200" s="135">
        <f>+N199/G199</f>
        <v>1.0402324218826251</v>
      </c>
    </row>
    <row r="201" spans="3:14" ht="5.25" customHeight="1"/>
    <row r="202" spans="3:14" ht="15.75">
      <c r="C202" s="93" t="s">
        <v>18</v>
      </c>
    </row>
    <row r="203" spans="3:14">
      <c r="C203" s="245" t="s">
        <v>7</v>
      </c>
      <c r="D203" s="241">
        <v>5048</v>
      </c>
      <c r="E203" s="446" t="s">
        <v>136</v>
      </c>
      <c r="F203" s="446"/>
      <c r="G203" s="446"/>
      <c r="H203" s="411"/>
      <c r="I203" s="411"/>
      <c r="J203" s="411"/>
      <c r="K203" s="411"/>
      <c r="L203" s="447" t="s">
        <v>142</v>
      </c>
      <c r="M203" s="448"/>
      <c r="N203" s="449"/>
    </row>
    <row r="204" spans="3:14">
      <c r="C204" s="103" t="s">
        <v>9</v>
      </c>
      <c r="D204" s="247">
        <v>51.242852368243646</v>
      </c>
      <c r="E204" s="446"/>
      <c r="F204" s="446"/>
      <c r="G204" s="446"/>
      <c r="H204" s="411"/>
      <c r="I204" s="411"/>
      <c r="J204" s="411"/>
      <c r="K204" s="411"/>
      <c r="L204" s="450"/>
      <c r="M204" s="451"/>
      <c r="N204" s="452"/>
    </row>
    <row r="205" spans="3:14" ht="45">
      <c r="C205" s="103"/>
      <c r="D205" s="248"/>
      <c r="E205" s="389" t="s">
        <v>60</v>
      </c>
      <c r="F205" s="390" t="s">
        <v>61</v>
      </c>
      <c r="G205" s="389" t="s">
        <v>62</v>
      </c>
      <c r="H205" s="391" t="s">
        <v>4</v>
      </c>
      <c r="I205" s="391" t="s">
        <v>5</v>
      </c>
      <c r="J205" s="392" t="s">
        <v>2</v>
      </c>
      <c r="K205" s="393" t="s">
        <v>6</v>
      </c>
      <c r="L205" s="389" t="s">
        <v>60</v>
      </c>
      <c r="M205" s="390" t="s">
        <v>61</v>
      </c>
      <c r="N205" s="389" t="s">
        <v>62</v>
      </c>
    </row>
    <row r="206" spans="3:14">
      <c r="C206" s="95" t="s">
        <v>10</v>
      </c>
      <c r="D206" s="96" t="s">
        <v>11</v>
      </c>
      <c r="E206" s="97">
        <f>'R1'!K27</f>
        <v>296.64</v>
      </c>
      <c r="F206" s="97"/>
      <c r="G206" s="97">
        <f>'R1'!M27</f>
        <v>296.64</v>
      </c>
      <c r="H206" s="97" t="e">
        <f>'R1'!#REF!</f>
        <v>#REF!</v>
      </c>
      <c r="I206" s="97" t="e">
        <f>'R1'!#REF!</f>
        <v>#REF!</v>
      </c>
      <c r="J206" s="97" t="e">
        <f>'R1'!#REF!</f>
        <v>#REF!</v>
      </c>
      <c r="K206" s="97" t="e">
        <f>'R1'!#REF!</f>
        <v>#REF!</v>
      </c>
      <c r="L206" s="98">
        <f>'R1'!AI27</f>
        <v>349.17132188263611</v>
      </c>
      <c r="M206" s="98">
        <f>'R1'!AJ27</f>
        <v>0</v>
      </c>
      <c r="N206" s="98">
        <f>'R1'!AK27</f>
        <v>349.17132188263611</v>
      </c>
    </row>
    <row r="207" spans="3:14">
      <c r="C207" s="95" t="s">
        <v>95</v>
      </c>
      <c r="D207" s="96" t="s">
        <v>11</v>
      </c>
      <c r="E207" s="97"/>
      <c r="F207" s="97"/>
      <c r="G207" s="97"/>
      <c r="H207" s="136"/>
      <c r="I207" s="119"/>
      <c r="J207" s="99"/>
      <c r="K207" s="99"/>
      <c r="L207" s="98"/>
      <c r="M207" s="98"/>
      <c r="N207" s="98"/>
    </row>
    <row r="208" spans="3:14">
      <c r="C208" s="95" t="s">
        <v>138</v>
      </c>
      <c r="D208" s="96" t="s">
        <v>11</v>
      </c>
      <c r="E208" s="97">
        <f>'R1'!K29</f>
        <v>393.2902868513691</v>
      </c>
      <c r="F208" s="97">
        <f>'R1'!L29</f>
        <v>46.486633148630901</v>
      </c>
      <c r="G208" s="97">
        <f>'R1'!M29</f>
        <v>439.77692000000002</v>
      </c>
      <c r="H208" s="101"/>
      <c r="I208" s="101"/>
      <c r="J208" s="99" t="e">
        <f>+'R1'!#REF!</f>
        <v>#REF!</v>
      </c>
      <c r="K208" s="99" t="e">
        <f t="shared" ref="K208:K211" si="12">SUM(I208:J208)</f>
        <v>#REF!</v>
      </c>
      <c r="L208" s="98">
        <f>'R1'!AI29</f>
        <v>362.53210614383744</v>
      </c>
      <c r="M208" s="98">
        <f>'R1'!AJ29</f>
        <v>25.962882723191484</v>
      </c>
      <c r="N208" s="98">
        <f>'R1'!AK29</f>
        <v>388.49498886702895</v>
      </c>
    </row>
    <row r="209" spans="3:14">
      <c r="C209" s="95" t="s">
        <v>13</v>
      </c>
      <c r="D209" s="96" t="s">
        <v>11</v>
      </c>
      <c r="E209" s="97">
        <f>'R1'!K30</f>
        <v>31.513392923742995</v>
      </c>
      <c r="F209" s="97">
        <f>'R1'!L30</f>
        <v>52.667055076257007</v>
      </c>
      <c r="G209" s="97">
        <f>'R1'!M30</f>
        <v>84.180447999999998</v>
      </c>
      <c r="H209" s="101"/>
      <c r="I209" s="101"/>
      <c r="J209" s="99" t="e">
        <f>+'R1'!#REF!</f>
        <v>#REF!</v>
      </c>
      <c r="K209" s="99" t="e">
        <f t="shared" si="12"/>
        <v>#REF!</v>
      </c>
      <c r="L209" s="98">
        <f>'R1'!AI30</f>
        <v>0</v>
      </c>
      <c r="M209" s="98">
        <f>'R1'!AJ30</f>
        <v>0</v>
      </c>
      <c r="N209" s="98">
        <f>'R1'!AK30</f>
        <v>0</v>
      </c>
    </row>
    <row r="210" spans="3:14">
      <c r="C210" s="95" t="s">
        <v>14</v>
      </c>
      <c r="D210" s="96" t="s">
        <v>11</v>
      </c>
      <c r="E210" s="97">
        <f>'R1'!K31</f>
        <v>3.9016524837460875</v>
      </c>
      <c r="F210" s="97">
        <f>'R1'!L31</f>
        <v>242.47103551625392</v>
      </c>
      <c r="G210" s="97">
        <f>'R1'!M31</f>
        <v>246.37268800000001</v>
      </c>
      <c r="H210" s="101"/>
      <c r="I210" s="101"/>
      <c r="J210" s="99" t="e">
        <f>+'R1'!#REF!</f>
        <v>#REF!</v>
      </c>
      <c r="K210" s="99" t="e">
        <f t="shared" si="12"/>
        <v>#REF!</v>
      </c>
      <c r="L210" s="98">
        <f>'R1'!AI31</f>
        <v>-4.3664706079632634</v>
      </c>
      <c r="M210" s="98">
        <f>'R1'!AJ31</f>
        <v>93.129849655032245</v>
      </c>
      <c r="N210" s="98">
        <f>'R1'!AK31</f>
        <v>88.76337904706898</v>
      </c>
    </row>
    <row r="211" spans="3:14">
      <c r="C211" s="95" t="s">
        <v>15</v>
      </c>
      <c r="D211" s="96" t="s">
        <v>11</v>
      </c>
      <c r="E211" s="97">
        <f>'R1'!K32</f>
        <v>4.2582739830694427</v>
      </c>
      <c r="F211" s="97">
        <f>'R1'!L32</f>
        <v>524.90337401693057</v>
      </c>
      <c r="G211" s="97">
        <f>'R1'!M32</f>
        <v>529.16164800000001</v>
      </c>
      <c r="H211" s="100" t="e">
        <f>+I211/$D$31</f>
        <v>#REF!</v>
      </c>
      <c r="I211" s="99" t="e">
        <f>+'R1'!#REF!</f>
        <v>#REF!</v>
      </c>
      <c r="J211" s="99" t="e">
        <f>+'R1'!#REF!</f>
        <v>#REF!</v>
      </c>
      <c r="K211" s="99" t="e">
        <f t="shared" si="12"/>
        <v>#REF!</v>
      </c>
      <c r="L211" s="98">
        <f>'R1'!AI32</f>
        <v>7.0912638225132234</v>
      </c>
      <c r="M211" s="98">
        <f>'R1'!AJ32</f>
        <v>719.91449104423316</v>
      </c>
      <c r="N211" s="98">
        <f>'R1'!AK32</f>
        <v>727.00575486674643</v>
      </c>
    </row>
    <row r="212" spans="3:14">
      <c r="C212" s="103" t="s">
        <v>16</v>
      </c>
      <c r="D212" s="96" t="s">
        <v>11</v>
      </c>
      <c r="E212" s="142">
        <f>'R1'!K33</f>
        <v>729.60360624192765</v>
      </c>
      <c r="F212" s="142">
        <f>'R1'!L33</f>
        <v>866.52809775807236</v>
      </c>
      <c r="G212" s="142">
        <f>'R1'!M33</f>
        <v>1596.1317039999999</v>
      </c>
      <c r="H212" s="101"/>
      <c r="I212" s="104" t="e">
        <f>SUM(I206:I211)</f>
        <v>#REF!</v>
      </c>
      <c r="J212" s="104" t="e">
        <f>SUM(J206:J211)</f>
        <v>#REF!</v>
      </c>
      <c r="K212" s="105" t="e">
        <f>SUM(K206:K211)</f>
        <v>#REF!</v>
      </c>
      <c r="L212" s="104">
        <f>'R1'!AI33</f>
        <v>714.42822124102361</v>
      </c>
      <c r="M212" s="104">
        <f>'R1'!AJ33</f>
        <v>839.00722342245695</v>
      </c>
      <c r="N212" s="104">
        <f>'R1'!AK33</f>
        <v>1553.4354446634804</v>
      </c>
    </row>
    <row r="213" spans="3:14">
      <c r="C213" s="103" t="s">
        <v>24</v>
      </c>
      <c r="D213" s="231"/>
      <c r="E213" s="232"/>
      <c r="F213" s="232"/>
      <c r="G213" s="238"/>
      <c r="H213" s="232"/>
      <c r="I213" s="232"/>
      <c r="J213" s="233"/>
      <c r="K213" s="135" t="e">
        <f>+K212/#REF!</f>
        <v>#REF!</v>
      </c>
      <c r="L213" s="444"/>
      <c r="M213" s="445"/>
      <c r="N213" s="135">
        <f>+N212/G212</f>
        <v>0.97325016524042463</v>
      </c>
    </row>
    <row r="214" spans="3:14">
      <c r="C214" s="91"/>
      <c r="D214" s="89"/>
      <c r="E214" s="272"/>
      <c r="F214" s="272"/>
      <c r="G214" s="271"/>
      <c r="L214" s="272"/>
      <c r="M214" s="272"/>
      <c r="N214" s="272"/>
    </row>
    <row r="219" spans="3:14" ht="18.75">
      <c r="C219" s="107" t="s">
        <v>143</v>
      </c>
    </row>
    <row r="220" spans="3:14">
      <c r="E220" s="453"/>
      <c r="F220" s="453"/>
      <c r="G220" s="453"/>
      <c r="L220" s="453"/>
      <c r="M220" s="453"/>
      <c r="N220" s="453"/>
    </row>
    <row r="221" spans="3:14" ht="15.75">
      <c r="C221" s="94" t="s">
        <v>20</v>
      </c>
      <c r="D221" s="84"/>
      <c r="E221" s="228"/>
      <c r="F221" s="229"/>
      <c r="G221" s="228"/>
      <c r="H221" s="86"/>
      <c r="I221" s="86"/>
      <c r="J221" s="84"/>
      <c r="K221" s="85"/>
      <c r="L221" s="228"/>
      <c r="M221" s="229"/>
      <c r="N221" s="228"/>
    </row>
    <row r="222" spans="3:14">
      <c r="C222" s="245" t="s">
        <v>7</v>
      </c>
      <c r="D222" s="241">
        <v>2400</v>
      </c>
      <c r="E222" s="446" t="s">
        <v>136</v>
      </c>
      <c r="F222" s="446"/>
      <c r="G222" s="446"/>
      <c r="H222" s="411"/>
      <c r="I222" s="411"/>
      <c r="J222" s="411"/>
      <c r="K222" s="411"/>
      <c r="L222" s="447" t="s">
        <v>142</v>
      </c>
      <c r="M222" s="448"/>
      <c r="N222" s="449"/>
    </row>
    <row r="223" spans="3:14">
      <c r="C223" s="103" t="s">
        <v>9</v>
      </c>
      <c r="D223" s="247">
        <v>24.362687338309179</v>
      </c>
      <c r="E223" s="446"/>
      <c r="F223" s="446"/>
      <c r="G223" s="446"/>
      <c r="H223" s="411"/>
      <c r="I223" s="411"/>
      <c r="J223" s="411"/>
      <c r="K223" s="411"/>
      <c r="L223" s="450"/>
      <c r="M223" s="451"/>
      <c r="N223" s="452"/>
    </row>
    <row r="224" spans="3:14" ht="45">
      <c r="C224" s="103"/>
      <c r="D224" s="247"/>
      <c r="E224" s="389" t="s">
        <v>60</v>
      </c>
      <c r="F224" s="390" t="s">
        <v>61</v>
      </c>
      <c r="G224" s="389" t="s">
        <v>62</v>
      </c>
      <c r="H224" s="391" t="s">
        <v>4</v>
      </c>
      <c r="I224" s="391" t="s">
        <v>5</v>
      </c>
      <c r="J224" s="392" t="s">
        <v>2</v>
      </c>
      <c r="K224" s="393" t="s">
        <v>6</v>
      </c>
      <c r="L224" s="389" t="s">
        <v>60</v>
      </c>
      <c r="M224" s="390" t="s">
        <v>61</v>
      </c>
      <c r="N224" s="389" t="s">
        <v>62</v>
      </c>
    </row>
    <row r="225" spans="3:14">
      <c r="C225" s="95" t="s">
        <v>10</v>
      </c>
      <c r="D225" s="96" t="s">
        <v>11</v>
      </c>
      <c r="E225" s="98">
        <f>'R1'!K55</f>
        <v>296.64</v>
      </c>
      <c r="F225" s="98"/>
      <c r="G225" s="98">
        <f>'R1'!M55</f>
        <v>296.64</v>
      </c>
      <c r="H225" s="136"/>
      <c r="I225" s="119"/>
      <c r="J225" s="99"/>
      <c r="K225" s="141"/>
      <c r="L225" s="225">
        <f>'R1'!AI55</f>
        <v>349.17132188263611</v>
      </c>
      <c r="M225" s="225">
        <f>'R1'!AJ55</f>
        <v>0</v>
      </c>
      <c r="N225" s="225">
        <f>'R1'!AK55</f>
        <v>349.17132188263611</v>
      </c>
    </row>
    <row r="226" spans="3:14">
      <c r="C226" s="95" t="s">
        <v>95</v>
      </c>
      <c r="D226" s="96" t="s">
        <v>11</v>
      </c>
      <c r="E226" s="98"/>
      <c r="F226" s="98"/>
      <c r="G226" s="98"/>
      <c r="H226" s="136"/>
      <c r="I226" s="119"/>
      <c r="J226" s="99"/>
      <c r="K226" s="141"/>
      <c r="L226" s="225"/>
      <c r="M226" s="225"/>
      <c r="N226" s="225"/>
    </row>
    <row r="227" spans="3:14">
      <c r="C227" s="95" t="s">
        <v>138</v>
      </c>
      <c r="D227" s="96" t="s">
        <v>11</v>
      </c>
      <c r="E227" s="98">
        <f>'R1'!K57</f>
        <v>192.76645702442198</v>
      </c>
      <c r="F227" s="98">
        <f>'R1'!L57</f>
        <v>22.046578975578043</v>
      </c>
      <c r="G227" s="98">
        <f>'R1'!M57</f>
        <v>214.81303600000001</v>
      </c>
      <c r="H227" s="137"/>
      <c r="I227" s="101"/>
      <c r="J227" s="99"/>
      <c r="K227" s="141"/>
      <c r="L227" s="225">
        <f>'R1'!AI57</f>
        <v>172.3607477704457</v>
      </c>
      <c r="M227" s="225">
        <f>'R1'!AJ57</f>
        <v>12.34368433749199</v>
      </c>
      <c r="N227" s="225">
        <f>'R1'!AK57</f>
        <v>184.70443210793769</v>
      </c>
    </row>
    <row r="228" spans="3:14">
      <c r="C228" s="95" t="s">
        <v>13</v>
      </c>
      <c r="D228" s="96" t="s">
        <v>11</v>
      </c>
      <c r="E228" s="98">
        <f>'R1'!K58</f>
        <v>14.982595684822343</v>
      </c>
      <c r="F228" s="98">
        <f>'R1'!L58</f>
        <v>25.039804315177655</v>
      </c>
      <c r="G228" s="98">
        <f>'R1'!M58</f>
        <v>40.022399999999998</v>
      </c>
      <c r="H228" s="137"/>
      <c r="I228" s="101"/>
      <c r="J228" s="99"/>
      <c r="K228" s="141"/>
      <c r="L228" s="225">
        <f>'R1'!AI58</f>
        <v>0</v>
      </c>
      <c r="M228" s="225">
        <f>'R1'!AJ58</f>
        <v>0</v>
      </c>
      <c r="N228" s="225">
        <f>'R1'!AK58</f>
        <v>0</v>
      </c>
    </row>
    <row r="229" spans="3:14">
      <c r="C229" s="95" t="s">
        <v>14</v>
      </c>
      <c r="D229" s="96" t="s">
        <v>11</v>
      </c>
      <c r="E229" s="98">
        <f>'R1'!K59</f>
        <v>1.8549853330013093</v>
      </c>
      <c r="F229" s="98">
        <f>'R1'!L59</f>
        <v>115.27941466699869</v>
      </c>
      <c r="G229" s="98">
        <f>'R1'!M59</f>
        <v>117.1344</v>
      </c>
      <c r="H229" s="137"/>
      <c r="I229" s="101"/>
      <c r="J229" s="99"/>
      <c r="K229" s="141"/>
      <c r="L229" s="225">
        <f>'R1'!AI59</f>
        <v>-2.0759765172567022</v>
      </c>
      <c r="M229" s="225">
        <f>'R1'!AJ59</f>
        <v>44.277266080047028</v>
      </c>
      <c r="N229" s="225">
        <f>'R1'!AK59</f>
        <v>42.201289562790322</v>
      </c>
    </row>
    <row r="230" spans="3:14">
      <c r="C230" s="95" t="s">
        <v>15</v>
      </c>
      <c r="D230" s="96" t="s">
        <v>11</v>
      </c>
      <c r="E230" s="98">
        <f>'R1'!K60</f>
        <v>2.0245359665940299</v>
      </c>
      <c r="F230" s="98">
        <f>'R1'!L60</f>
        <v>249.55786403340596</v>
      </c>
      <c r="G230" s="98">
        <f>'R1'!M60</f>
        <v>251.58240000000001</v>
      </c>
      <c r="H230" s="138"/>
      <c r="I230" s="99"/>
      <c r="J230" s="99"/>
      <c r="K230" s="141"/>
      <c r="L230" s="225">
        <f>'R1'!AI60</f>
        <v>3.3714408030966196</v>
      </c>
      <c r="M230" s="225">
        <f>'R1'!AJ60</f>
        <v>342.27313361849434</v>
      </c>
      <c r="N230" s="225">
        <f>'R1'!AK60</f>
        <v>345.64457442159096</v>
      </c>
    </row>
    <row r="231" spans="3:14">
      <c r="C231" s="103" t="s">
        <v>16</v>
      </c>
      <c r="D231" s="96" t="s">
        <v>11</v>
      </c>
      <c r="E231" s="104">
        <f>'R1'!K61</f>
        <v>508.26857400883966</v>
      </c>
      <c r="F231" s="104">
        <f>'R1'!L61</f>
        <v>411.92366199116032</v>
      </c>
      <c r="G231" s="104">
        <f>'R1'!M61</f>
        <v>920.19223599999998</v>
      </c>
      <c r="H231" s="139"/>
      <c r="I231" s="134"/>
      <c r="J231" s="134"/>
      <c r="K231" s="140"/>
      <c r="L231" s="274">
        <f>'R1'!AI61</f>
        <v>522.82753393892187</v>
      </c>
      <c r="M231" s="274">
        <f>'R1'!AJ61</f>
        <v>398.89408403603335</v>
      </c>
      <c r="N231" s="274">
        <f>'R1'!AK61</f>
        <v>921.72161797495505</v>
      </c>
    </row>
    <row r="232" spans="3:14">
      <c r="C232" s="103" t="s">
        <v>24</v>
      </c>
      <c r="D232" s="231"/>
      <c r="E232" s="232"/>
      <c r="F232" s="232"/>
      <c r="G232" s="135"/>
      <c r="H232" s="232"/>
      <c r="I232" s="232"/>
      <c r="J232" s="233"/>
      <c r="K232" s="135" t="e">
        <f>+K231/#REF!</f>
        <v>#REF!</v>
      </c>
      <c r="L232" s="444"/>
      <c r="M232" s="445"/>
      <c r="N232" s="135">
        <f>+N231/G231</f>
        <v>1.0016620244282903</v>
      </c>
    </row>
    <row r="234" spans="3:14" ht="15.75">
      <c r="C234" s="94" t="s">
        <v>21</v>
      </c>
    </row>
    <row r="235" spans="3:14">
      <c r="C235" s="245" t="s">
        <v>7</v>
      </c>
      <c r="D235" s="241">
        <v>2400</v>
      </c>
      <c r="E235" s="446" t="s">
        <v>136</v>
      </c>
      <c r="F235" s="446"/>
      <c r="G235" s="446"/>
      <c r="H235" s="411"/>
      <c r="I235" s="411"/>
      <c r="J235" s="411"/>
      <c r="K235" s="411"/>
      <c r="L235" s="447" t="s">
        <v>142</v>
      </c>
      <c r="M235" s="448"/>
      <c r="N235" s="449"/>
    </row>
    <row r="236" spans="3:14">
      <c r="C236" s="103" t="s">
        <v>9</v>
      </c>
      <c r="D236" s="247">
        <v>50.620843606342127</v>
      </c>
      <c r="E236" s="446"/>
      <c r="F236" s="446"/>
      <c r="G236" s="446"/>
      <c r="H236" s="411"/>
      <c r="I236" s="411"/>
      <c r="J236" s="411"/>
      <c r="K236" s="411"/>
      <c r="L236" s="450"/>
      <c r="M236" s="451"/>
      <c r="N236" s="452"/>
    </row>
    <row r="237" spans="3:14" ht="45">
      <c r="C237" s="103"/>
      <c r="D237" s="247"/>
      <c r="E237" s="389" t="s">
        <v>60</v>
      </c>
      <c r="F237" s="390" t="s">
        <v>61</v>
      </c>
      <c r="G237" s="389" t="s">
        <v>62</v>
      </c>
      <c r="H237" s="391" t="s">
        <v>4</v>
      </c>
      <c r="I237" s="391" t="s">
        <v>5</v>
      </c>
      <c r="J237" s="392" t="s">
        <v>2</v>
      </c>
      <c r="K237" s="393" t="s">
        <v>6</v>
      </c>
      <c r="L237" s="389" t="s">
        <v>60</v>
      </c>
      <c r="M237" s="390" t="s">
        <v>61</v>
      </c>
      <c r="N237" s="389" t="s">
        <v>62</v>
      </c>
    </row>
    <row r="238" spans="3:14">
      <c r="C238" s="95" t="s">
        <v>10</v>
      </c>
      <c r="D238" s="96" t="s">
        <v>11</v>
      </c>
      <c r="E238" s="97">
        <f>'R1'!K71</f>
        <v>296.64</v>
      </c>
      <c r="F238" s="97"/>
      <c r="G238" s="97">
        <f>'R1'!M71</f>
        <v>296.64</v>
      </c>
      <c r="H238" s="136" t="e">
        <f>+'R1'!#REF!</f>
        <v>#REF!</v>
      </c>
      <c r="I238" s="119" t="e">
        <f>+'R1'!#REF!</f>
        <v>#REF!</v>
      </c>
      <c r="J238" s="99" t="e">
        <f>+'R1'!#REF!</f>
        <v>#REF!</v>
      </c>
      <c r="K238" s="99" t="e">
        <f>SUM(I238:J238)</f>
        <v>#REF!</v>
      </c>
      <c r="L238" s="98">
        <f>'R1'!AI71</f>
        <v>349.17132188263611</v>
      </c>
      <c r="M238" s="98"/>
      <c r="N238" s="98">
        <f>'R1'!AK71</f>
        <v>349.17132188263611</v>
      </c>
    </row>
    <row r="239" spans="3:14">
      <c r="C239" s="95" t="s">
        <v>95</v>
      </c>
      <c r="D239" s="96" t="s">
        <v>11</v>
      </c>
      <c r="E239" s="97"/>
      <c r="F239" s="97"/>
      <c r="G239" s="97"/>
      <c r="H239" s="136"/>
      <c r="I239" s="119"/>
      <c r="J239" s="99"/>
      <c r="K239" s="99"/>
      <c r="L239" s="98"/>
      <c r="M239" s="98"/>
      <c r="N239" s="98"/>
    </row>
    <row r="240" spans="3:14">
      <c r="C240" s="95" t="s">
        <v>138</v>
      </c>
      <c r="D240" s="96" t="s">
        <v>11</v>
      </c>
      <c r="E240" s="97">
        <f>'R1'!K73</f>
        <v>192.76645702442198</v>
      </c>
      <c r="F240" s="97">
        <f>'R1'!L73</f>
        <v>22.046578975578043</v>
      </c>
      <c r="G240" s="97">
        <f>'R1'!M73</f>
        <v>214.81303600000001</v>
      </c>
      <c r="H240" s="101"/>
      <c r="I240" s="101"/>
      <c r="J240" s="99" t="e">
        <f>+'R1'!#REF!</f>
        <v>#REF!</v>
      </c>
      <c r="K240" s="99" t="e">
        <f t="shared" ref="K240:K243" si="13">SUM(I240:J240)</f>
        <v>#REF!</v>
      </c>
      <c r="L240" s="98">
        <f>'R1'!AI73</f>
        <v>172.3607477704457</v>
      </c>
      <c r="M240" s="98">
        <f>'R1'!AJ73</f>
        <v>12.34368433749199</v>
      </c>
      <c r="N240" s="98">
        <f>'R1'!AK73</f>
        <v>184.70443210793769</v>
      </c>
    </row>
    <row r="241" spans="3:14">
      <c r="C241" s="95" t="s">
        <v>13</v>
      </c>
      <c r="D241" s="96" t="s">
        <v>11</v>
      </c>
      <c r="E241" s="97">
        <f>'R1'!K74</f>
        <v>14.982595684822343</v>
      </c>
      <c r="F241" s="97">
        <f>'R1'!L74</f>
        <v>25.039804315177655</v>
      </c>
      <c r="G241" s="97">
        <f>'R1'!M74</f>
        <v>40.022399999999998</v>
      </c>
      <c r="H241" s="101"/>
      <c r="I241" s="101"/>
      <c r="J241" s="99" t="e">
        <f>+'R1'!#REF!</f>
        <v>#REF!</v>
      </c>
      <c r="K241" s="99" t="e">
        <f t="shared" si="13"/>
        <v>#REF!</v>
      </c>
      <c r="L241" s="98">
        <f>'R1'!AI74</f>
        <v>0</v>
      </c>
      <c r="M241" s="98">
        <f>'R1'!AJ74</f>
        <v>0</v>
      </c>
      <c r="N241" s="98">
        <f>'R1'!AK74</f>
        <v>0</v>
      </c>
    </row>
    <row r="242" spans="3:14">
      <c r="C242" s="95" t="s">
        <v>14</v>
      </c>
      <c r="D242" s="96" t="s">
        <v>11</v>
      </c>
      <c r="E242" s="97">
        <f>'R1'!K75</f>
        <v>1.8549853330013093</v>
      </c>
      <c r="F242" s="97">
        <f>'R1'!L75</f>
        <v>115.27941466699869</v>
      </c>
      <c r="G242" s="97">
        <f>'R1'!M75</f>
        <v>117.1344</v>
      </c>
      <c r="H242" s="101"/>
      <c r="I242" s="101"/>
      <c r="J242" s="99" t="e">
        <f>+'R1'!#REF!</f>
        <v>#REF!</v>
      </c>
      <c r="K242" s="99" t="e">
        <f t="shared" si="13"/>
        <v>#REF!</v>
      </c>
      <c r="L242" s="98">
        <f>'R1'!AI75</f>
        <v>-2.0759765172567022</v>
      </c>
      <c r="M242" s="98">
        <f>'R1'!AJ75</f>
        <v>44.277266080047028</v>
      </c>
      <c r="N242" s="98">
        <f>'R1'!AK75</f>
        <v>42.201289562790322</v>
      </c>
    </row>
    <row r="243" spans="3:14">
      <c r="C243" s="95" t="s">
        <v>15</v>
      </c>
      <c r="D243" s="96" t="s">
        <v>11</v>
      </c>
      <c r="E243" s="97">
        <f>'R1'!K76</f>
        <v>2.0245359665940299</v>
      </c>
      <c r="F243" s="97">
        <f>'R1'!L76</f>
        <v>249.55786403340596</v>
      </c>
      <c r="G243" s="97">
        <f>'R1'!M76</f>
        <v>251.58240000000001</v>
      </c>
      <c r="H243" s="100" t="e">
        <f>+I243/$D$62</f>
        <v>#REF!</v>
      </c>
      <c r="I243" s="99" t="e">
        <f>+'R1'!#REF!</f>
        <v>#REF!</v>
      </c>
      <c r="J243" s="99" t="e">
        <f>+'R1'!#REF!</f>
        <v>#REF!</v>
      </c>
      <c r="K243" s="99" t="e">
        <f t="shared" si="13"/>
        <v>#REF!</v>
      </c>
      <c r="L243" s="98">
        <f>'R1'!AI76</f>
        <v>3.3714408030966196</v>
      </c>
      <c r="M243" s="98">
        <f>'R1'!AJ76</f>
        <v>342.27313361849434</v>
      </c>
      <c r="N243" s="98">
        <f>'R1'!AK76</f>
        <v>345.64457442159096</v>
      </c>
    </row>
    <row r="244" spans="3:14">
      <c r="C244" s="103" t="s">
        <v>16</v>
      </c>
      <c r="D244" s="96" t="s">
        <v>11</v>
      </c>
      <c r="E244" s="142">
        <f>'R1'!K77</f>
        <v>508.26857400883966</v>
      </c>
      <c r="F244" s="142">
        <f>'R1'!L77</f>
        <v>411.92366199116032</v>
      </c>
      <c r="G244" s="142">
        <f>'R1'!M77</f>
        <v>920.19223599999998</v>
      </c>
      <c r="H244" s="101"/>
      <c r="I244" s="104" t="e">
        <f>SUM(I238:I243)</f>
        <v>#REF!</v>
      </c>
      <c r="J244" s="104" t="e">
        <f>SUM(J238:J243)</f>
        <v>#REF!</v>
      </c>
      <c r="K244" s="104" t="e">
        <f>SUM(K238:K243)</f>
        <v>#REF!</v>
      </c>
      <c r="L244" s="104">
        <f>'R1'!AI77</f>
        <v>522.82753393892187</v>
      </c>
      <c r="M244" s="104">
        <f>'R1'!AJ77</f>
        <v>398.89408403603335</v>
      </c>
      <c r="N244" s="104">
        <f>'R1'!AK77</f>
        <v>921.72161797495505</v>
      </c>
    </row>
    <row r="245" spans="3:14">
      <c r="C245" s="103" t="s">
        <v>24</v>
      </c>
      <c r="D245" s="231"/>
      <c r="E245" s="232"/>
      <c r="F245" s="232"/>
      <c r="G245" s="135"/>
      <c r="H245" s="232"/>
      <c r="I245" s="232"/>
      <c r="J245" s="233"/>
      <c r="K245" s="135" t="e">
        <f>+K244/#REF!</f>
        <v>#REF!</v>
      </c>
      <c r="L245" s="444"/>
      <c r="M245" s="445"/>
      <c r="N245" s="135">
        <f>+N244/G244</f>
        <v>1.0016620244282903</v>
      </c>
    </row>
    <row r="247" spans="3:14" ht="15.75">
      <c r="C247" s="94" t="s">
        <v>22</v>
      </c>
    </row>
    <row r="248" spans="3:14">
      <c r="C248" s="245" t="s">
        <v>7</v>
      </c>
      <c r="D248" s="241">
        <v>2400</v>
      </c>
      <c r="E248" s="446" t="s">
        <v>136</v>
      </c>
      <c r="F248" s="446"/>
      <c r="G248" s="446"/>
      <c r="H248" s="411"/>
      <c r="I248" s="411"/>
      <c r="J248" s="411"/>
      <c r="K248" s="411"/>
      <c r="L248" s="447" t="s">
        <v>142</v>
      </c>
      <c r="M248" s="448"/>
      <c r="N248" s="449"/>
    </row>
    <row r="249" spans="3:14">
      <c r="C249" s="103" t="s">
        <v>9</v>
      </c>
      <c r="D249" s="247">
        <v>16.041569057843905</v>
      </c>
      <c r="E249" s="446"/>
      <c r="F249" s="446"/>
      <c r="G249" s="446"/>
      <c r="H249" s="411"/>
      <c r="I249" s="411"/>
      <c r="J249" s="411"/>
      <c r="K249" s="411"/>
      <c r="L249" s="450"/>
      <c r="M249" s="451"/>
      <c r="N249" s="452"/>
    </row>
    <row r="250" spans="3:14" ht="45">
      <c r="C250" s="103"/>
      <c r="D250" s="247"/>
      <c r="E250" s="389" t="s">
        <v>60</v>
      </c>
      <c r="F250" s="390" t="s">
        <v>61</v>
      </c>
      <c r="G250" s="389" t="s">
        <v>62</v>
      </c>
      <c r="H250" s="391" t="s">
        <v>4</v>
      </c>
      <c r="I250" s="391" t="s">
        <v>5</v>
      </c>
      <c r="J250" s="392" t="s">
        <v>2</v>
      </c>
      <c r="K250" s="393" t="s">
        <v>6</v>
      </c>
      <c r="L250" s="389" t="s">
        <v>60</v>
      </c>
      <c r="M250" s="390" t="s">
        <v>61</v>
      </c>
      <c r="N250" s="389" t="s">
        <v>62</v>
      </c>
    </row>
    <row r="251" spans="3:14">
      <c r="C251" s="95" t="s">
        <v>10</v>
      </c>
      <c r="D251" s="96" t="s">
        <v>11</v>
      </c>
      <c r="E251" s="97">
        <f>'R1'!K85</f>
        <v>296.64</v>
      </c>
      <c r="F251" s="97"/>
      <c r="G251" s="97">
        <f>'R1'!M85</f>
        <v>296.64</v>
      </c>
      <c r="H251" s="136" t="e">
        <f>+'R1'!#REF!</f>
        <v>#REF!</v>
      </c>
      <c r="I251" s="119" t="e">
        <f>+'R1'!#REF!</f>
        <v>#REF!</v>
      </c>
      <c r="J251" s="99" t="e">
        <f>+'R1'!#REF!</f>
        <v>#REF!</v>
      </c>
      <c r="K251" s="99" t="e">
        <f>SUM(I251:J251)</f>
        <v>#REF!</v>
      </c>
      <c r="L251" s="98">
        <f>'R1'!AI85</f>
        <v>349.17132188263611</v>
      </c>
      <c r="M251" s="98"/>
      <c r="N251" s="98">
        <f>'R1'!AK85</f>
        <v>349.17132188263611</v>
      </c>
    </row>
    <row r="252" spans="3:14">
      <c r="C252" s="95" t="s">
        <v>95</v>
      </c>
      <c r="D252" s="96" t="s">
        <v>11</v>
      </c>
      <c r="E252" s="97"/>
      <c r="F252" s="97"/>
      <c r="G252" s="97"/>
      <c r="H252" s="136"/>
      <c r="I252" s="119"/>
      <c r="J252" s="99"/>
      <c r="K252" s="99"/>
      <c r="L252" s="98"/>
      <c r="M252" s="98"/>
      <c r="N252" s="98"/>
    </row>
    <row r="253" spans="3:14">
      <c r="C253" s="95" t="s">
        <v>138</v>
      </c>
      <c r="D253" s="96" t="s">
        <v>11</v>
      </c>
      <c r="E253" s="97">
        <f>'R1'!K87</f>
        <v>192.76645702442198</v>
      </c>
      <c r="F253" s="97">
        <f>'R1'!L87</f>
        <v>22.046578975578043</v>
      </c>
      <c r="G253" s="97">
        <f>'R1'!M87</f>
        <v>214.81303600000001</v>
      </c>
      <c r="H253" s="101"/>
      <c r="I253" s="101"/>
      <c r="J253" s="99" t="e">
        <f>+'R1'!#REF!</f>
        <v>#REF!</v>
      </c>
      <c r="K253" s="99" t="e">
        <f t="shared" ref="K253:K256" si="14">SUM(I253:J253)</f>
        <v>#REF!</v>
      </c>
      <c r="L253" s="98">
        <f>'R1'!AI87</f>
        <v>172.3607477704457</v>
      </c>
      <c r="M253" s="98">
        <f>'R1'!AJ87</f>
        <v>12.34368433749199</v>
      </c>
      <c r="N253" s="98">
        <f>'R1'!AK87</f>
        <v>184.70443210793769</v>
      </c>
    </row>
    <row r="254" spans="3:14">
      <c r="C254" s="95" t="s">
        <v>13</v>
      </c>
      <c r="D254" s="96" t="s">
        <v>11</v>
      </c>
      <c r="E254" s="97">
        <f>'R1'!K88</f>
        <v>14.982595684822343</v>
      </c>
      <c r="F254" s="97">
        <f>'R1'!L88</f>
        <v>25.039804315177655</v>
      </c>
      <c r="G254" s="97">
        <f>'R1'!M88</f>
        <v>40.022399999999998</v>
      </c>
      <c r="H254" s="101"/>
      <c r="I254" s="101"/>
      <c r="J254" s="99" t="e">
        <f>+'R1'!#REF!</f>
        <v>#REF!</v>
      </c>
      <c r="K254" s="99" t="e">
        <f t="shared" si="14"/>
        <v>#REF!</v>
      </c>
      <c r="L254" s="98">
        <f>'R1'!AI88</f>
        <v>0</v>
      </c>
      <c r="M254" s="98">
        <f>'R1'!AJ88</f>
        <v>0</v>
      </c>
      <c r="N254" s="98">
        <f>'R1'!AK88</f>
        <v>0</v>
      </c>
    </row>
    <row r="255" spans="3:14">
      <c r="C255" s="95" t="s">
        <v>14</v>
      </c>
      <c r="D255" s="96" t="s">
        <v>11</v>
      </c>
      <c r="E255" s="97">
        <f>'R1'!K89</f>
        <v>1.8549853330013093</v>
      </c>
      <c r="F255" s="97">
        <f>'R1'!L89</f>
        <v>115.27941466699869</v>
      </c>
      <c r="G255" s="97">
        <f>'R1'!M89</f>
        <v>117.1344</v>
      </c>
      <c r="H255" s="101"/>
      <c r="I255" s="101"/>
      <c r="J255" s="99" t="e">
        <f>+'R1'!#REF!</f>
        <v>#REF!</v>
      </c>
      <c r="K255" s="99" t="e">
        <f t="shared" si="14"/>
        <v>#REF!</v>
      </c>
      <c r="L255" s="98">
        <f>'R1'!AI89</f>
        <v>-2.0759765172567022</v>
      </c>
      <c r="M255" s="98">
        <f>'R1'!AJ89</f>
        <v>44.277266080047028</v>
      </c>
      <c r="N255" s="98">
        <f>'R1'!AK89</f>
        <v>42.201289562790322</v>
      </c>
    </row>
    <row r="256" spans="3:14">
      <c r="C256" s="95" t="s">
        <v>15</v>
      </c>
      <c r="D256" s="96" t="s">
        <v>11</v>
      </c>
      <c r="E256" s="97">
        <f>'R1'!K90</f>
        <v>2.0245359665940299</v>
      </c>
      <c r="F256" s="97">
        <f>'R1'!L90</f>
        <v>249.55786403340596</v>
      </c>
      <c r="G256" s="97">
        <f>'R1'!M90</f>
        <v>251.58240000000001</v>
      </c>
      <c r="H256" s="100" t="e">
        <f>+I256/$D$75</f>
        <v>#REF!</v>
      </c>
      <c r="I256" s="99" t="e">
        <f>+'R1'!#REF!</f>
        <v>#REF!</v>
      </c>
      <c r="J256" s="99" t="e">
        <f>+'R1'!#REF!</f>
        <v>#REF!</v>
      </c>
      <c r="K256" s="99" t="e">
        <f t="shared" si="14"/>
        <v>#REF!</v>
      </c>
      <c r="L256" s="98">
        <f>'R1'!AI90</f>
        <v>3.3714408030966196</v>
      </c>
      <c r="M256" s="98">
        <f>'R1'!AJ90</f>
        <v>342.27313361849434</v>
      </c>
      <c r="N256" s="98">
        <f>'R1'!AK90</f>
        <v>345.64457442159096</v>
      </c>
    </row>
    <row r="257" spans="3:14">
      <c r="C257" s="103" t="s">
        <v>16</v>
      </c>
      <c r="D257" s="96" t="s">
        <v>11</v>
      </c>
      <c r="E257" s="142">
        <f>'R1'!K91</f>
        <v>508.26857400883966</v>
      </c>
      <c r="F257" s="142">
        <f>'R1'!L91</f>
        <v>411.92366199116032</v>
      </c>
      <c r="G257" s="142">
        <f>'R1'!M91</f>
        <v>920.19223599999998</v>
      </c>
      <c r="H257" s="101"/>
      <c r="I257" s="104" t="e">
        <f>SUM(I251:I256)</f>
        <v>#REF!</v>
      </c>
      <c r="J257" s="104" t="e">
        <f>SUM(J251:J256)</f>
        <v>#REF!</v>
      </c>
      <c r="K257" s="104" t="e">
        <f>SUM(K251:K256)</f>
        <v>#REF!</v>
      </c>
      <c r="L257" s="104">
        <f>'R1'!AI91</f>
        <v>522.82753393892187</v>
      </c>
      <c r="M257" s="104">
        <f>'R1'!AJ91</f>
        <v>398.89408403603335</v>
      </c>
      <c r="N257" s="104">
        <f>'R1'!AK91</f>
        <v>921.72161797495505</v>
      </c>
    </row>
    <row r="258" spans="3:14">
      <c r="C258" s="103" t="s">
        <v>24</v>
      </c>
      <c r="D258" s="231"/>
      <c r="E258" s="232"/>
      <c r="F258" s="232"/>
      <c r="G258" s="135"/>
      <c r="H258" s="232"/>
      <c r="I258" s="232"/>
      <c r="J258" s="233"/>
      <c r="K258" s="135" t="e">
        <f>+K257/#REF!</f>
        <v>#REF!</v>
      </c>
      <c r="L258" s="444"/>
      <c r="M258" s="445"/>
      <c r="N258" s="135">
        <f>+N257/G257</f>
        <v>1.0016620244282903</v>
      </c>
    </row>
    <row r="261" spans="3:14">
      <c r="C261" s="275" t="s">
        <v>144</v>
      </c>
    </row>
    <row r="262" spans="3:14">
      <c r="C262" s="245" t="s">
        <v>7</v>
      </c>
      <c r="D262" s="241">
        <f>'R6'!E25</f>
        <v>22606</v>
      </c>
      <c r="E262" s="446" t="s">
        <v>136</v>
      </c>
      <c r="F262" s="446"/>
      <c r="G262" s="446"/>
      <c r="L262" s="447" t="s">
        <v>137</v>
      </c>
      <c r="M262" s="448"/>
      <c r="N262" s="449"/>
    </row>
    <row r="263" spans="3:14">
      <c r="C263" s="103" t="s">
        <v>9</v>
      </c>
      <c r="D263" s="247">
        <f>'R6'!E26</f>
        <v>211.7806466332525</v>
      </c>
      <c r="E263" s="446"/>
      <c r="F263" s="446"/>
      <c r="G263" s="446"/>
      <c r="H263" s="236"/>
      <c r="K263" s="237"/>
      <c r="L263" s="450"/>
      <c r="M263" s="451"/>
      <c r="N263" s="452"/>
    </row>
    <row r="264" spans="3:14" ht="45">
      <c r="C264" s="103"/>
      <c r="D264" s="247"/>
      <c r="E264" s="389" t="s">
        <v>60</v>
      </c>
      <c r="F264" s="390" t="s">
        <v>61</v>
      </c>
      <c r="G264" s="389" t="s">
        <v>62</v>
      </c>
      <c r="H264" s="391" t="s">
        <v>4</v>
      </c>
      <c r="I264" s="391" t="s">
        <v>5</v>
      </c>
      <c r="J264" s="392" t="s">
        <v>2</v>
      </c>
      <c r="K264" s="393" t="s">
        <v>6</v>
      </c>
      <c r="L264" s="389" t="s">
        <v>60</v>
      </c>
      <c r="M264" s="390" t="s">
        <v>61</v>
      </c>
      <c r="N264" s="389" t="s">
        <v>62</v>
      </c>
    </row>
    <row r="265" spans="3:14">
      <c r="C265" s="95" t="s">
        <v>10</v>
      </c>
      <c r="D265" s="96" t="s">
        <v>11</v>
      </c>
      <c r="E265" s="97">
        <f>'10'!I45</f>
        <v>943.80000000000007</v>
      </c>
      <c r="F265" s="97"/>
      <c r="G265" s="97">
        <f>'10'!K45</f>
        <v>943.80000000000007</v>
      </c>
      <c r="H265" s="136" t="e">
        <f>+'R1'!#REF!</f>
        <v>#REF!</v>
      </c>
      <c r="I265" s="119" t="e">
        <f>+'R1'!#REF!</f>
        <v>#REF!</v>
      </c>
      <c r="J265" s="99" t="e">
        <f>+'R1'!#REF!</f>
        <v>#REF!</v>
      </c>
      <c r="K265" s="99" t="e">
        <f>SUM(I265:J265)</f>
        <v>#REF!</v>
      </c>
      <c r="L265" s="98">
        <f>'R6'!S27</f>
        <v>349.17132188263611</v>
      </c>
      <c r="M265" s="98"/>
      <c r="N265" s="98">
        <f>'R6'!U27</f>
        <v>349.17132188263611</v>
      </c>
    </row>
    <row r="266" spans="3:14">
      <c r="C266" s="95" t="s">
        <v>95</v>
      </c>
      <c r="D266" s="96" t="s">
        <v>11</v>
      </c>
      <c r="E266" s="97"/>
      <c r="F266" s="97"/>
      <c r="G266" s="97"/>
      <c r="H266" s="136"/>
      <c r="I266" s="119"/>
      <c r="J266" s="99"/>
      <c r="K266" s="99"/>
      <c r="L266" s="98">
        <f>'R6'!S28</f>
        <v>1588.3163947143589</v>
      </c>
      <c r="M266" s="98">
        <f>'R6'!T28</f>
        <v>25.985053921716762</v>
      </c>
      <c r="N266" s="98">
        <f>'R6'!U28</f>
        <v>1614.3014486360757</v>
      </c>
    </row>
    <row r="267" spans="3:14">
      <c r="C267" s="95" t="s">
        <v>138</v>
      </c>
      <c r="D267" s="96" t="s">
        <v>11</v>
      </c>
      <c r="E267" s="363">
        <f>'R6'!$K$29</f>
        <v>1574.6439316093561</v>
      </c>
      <c r="F267" s="363">
        <f>'R6'!$L$29</f>
        <v>175.42019939064372</v>
      </c>
      <c r="G267" s="363">
        <f>'R6'!$M$29</f>
        <v>1750.0641309999999</v>
      </c>
      <c r="H267" s="101"/>
      <c r="I267" s="101"/>
      <c r="J267" s="99" t="e">
        <f>+'R1'!#REF!</f>
        <v>#REF!</v>
      </c>
      <c r="K267" s="99" t="e">
        <f t="shared" ref="K267:K270" si="15">SUM(I267:J267)</f>
        <v>#REF!</v>
      </c>
      <c r="L267" s="98">
        <f>'R6'!S29</f>
        <v>0</v>
      </c>
      <c r="M267" s="98">
        <f>'R6'!T29</f>
        <v>87.466201976299303</v>
      </c>
      <c r="N267" s="98">
        <f>'R6'!U29</f>
        <v>87.466201976299303</v>
      </c>
    </row>
    <row r="268" spans="3:14">
      <c r="C268" s="95" t="s">
        <v>13</v>
      </c>
      <c r="D268" s="96" t="s">
        <v>11</v>
      </c>
      <c r="E268" s="363">
        <f>'R6'!$K$30</f>
        <v>130.83575091580732</v>
      </c>
      <c r="F268" s="363">
        <f>'R6'!$L$30</f>
        <v>218.22349508419268</v>
      </c>
      <c r="G268" s="363">
        <f>'R6'!$M$30</f>
        <v>349.05924600000003</v>
      </c>
      <c r="H268" s="101"/>
      <c r="I268" s="101"/>
      <c r="J268" s="99" t="e">
        <f>+'R1'!#REF!</f>
        <v>#REF!</v>
      </c>
      <c r="K268" s="99" t="e">
        <f t="shared" si="15"/>
        <v>#REF!</v>
      </c>
      <c r="L268" s="98">
        <f>'R6'!S30</f>
        <v>0</v>
      </c>
      <c r="M268" s="98">
        <f>'R6'!T30</f>
        <v>0</v>
      </c>
      <c r="N268" s="98">
        <f>'R6'!U30</f>
        <v>0</v>
      </c>
    </row>
    <row r="269" spans="3:14">
      <c r="C269" s="95" t="s">
        <v>14</v>
      </c>
      <c r="D269" s="96" t="s">
        <v>11</v>
      </c>
      <c r="E269" s="363">
        <f>'R6'!$K$31</f>
        <v>17.472410746261101</v>
      </c>
      <c r="F269" s="363">
        <f>'R6'!$L$31</f>
        <v>1085.8360252537389</v>
      </c>
      <c r="G269" s="363">
        <f>'R6'!$M$31</f>
        <v>1103.308436</v>
      </c>
      <c r="H269" s="101"/>
      <c r="I269" s="101"/>
      <c r="J269" s="99" t="e">
        <f>+'R1'!#REF!</f>
        <v>#REF!</v>
      </c>
      <c r="K269" s="99" t="e">
        <f t="shared" si="15"/>
        <v>#REF!</v>
      </c>
      <c r="L269" s="98">
        <f>'R6'!S31</f>
        <v>-18.544167482285076</v>
      </c>
      <c r="M269" s="98">
        <f>'R6'!T31</f>
        <v>375.96552479124972</v>
      </c>
      <c r="N269" s="98">
        <f>'R6'!U31</f>
        <v>357.42135730896462</v>
      </c>
    </row>
    <row r="270" spans="3:14">
      <c r="C270" s="95" t="s">
        <v>15</v>
      </c>
      <c r="D270" s="96" t="s">
        <v>11</v>
      </c>
      <c r="E270" s="363">
        <f>'R6'!$K$32</f>
        <v>24.474277911626864</v>
      </c>
      <c r="F270" s="363">
        <f>'R6'!$L$32</f>
        <v>2350.6251120883735</v>
      </c>
      <c r="G270" s="363">
        <f>'R6'!$M$32</f>
        <v>2375.0993900000003</v>
      </c>
      <c r="H270" s="100" t="e">
        <f>+I270/$D$75</f>
        <v>#REF!</v>
      </c>
      <c r="I270" s="99" t="e">
        <f>+'R1'!#REF!</f>
        <v>#REF!</v>
      </c>
      <c r="J270" s="99" t="e">
        <f>+'R1'!#REF!</f>
        <v>#REF!</v>
      </c>
      <c r="K270" s="99" t="e">
        <f t="shared" si="15"/>
        <v>#REF!</v>
      </c>
      <c r="L270" s="98">
        <f>'R6'!S32</f>
        <v>31.756162831167586</v>
      </c>
      <c r="M270" s="98">
        <f>'R6'!T32</f>
        <v>3223.9276910748677</v>
      </c>
      <c r="N270" s="98">
        <f>'R6'!U32</f>
        <v>3255.6838539060354</v>
      </c>
    </row>
    <row r="271" spans="3:14">
      <c r="C271" s="103" t="s">
        <v>16</v>
      </c>
      <c r="D271" s="96" t="s">
        <v>11</v>
      </c>
      <c r="E271" s="376">
        <f>'R6'!$K$33</f>
        <v>2691.1063711830511</v>
      </c>
      <c r="F271" s="376">
        <f>'R6'!$L$33</f>
        <v>3830.1048318169487</v>
      </c>
      <c r="G271" s="376">
        <f>'R6'!$M$33</f>
        <v>6521.2112030000008</v>
      </c>
      <c r="H271" s="101"/>
      <c r="I271" s="104" t="e">
        <f>SUM(I265:I270)</f>
        <v>#REF!</v>
      </c>
      <c r="J271" s="104" t="e">
        <f>SUM(J265:J270)</f>
        <v>#REF!</v>
      </c>
      <c r="K271" s="104" t="e">
        <f>SUM(K265:K270)</f>
        <v>#REF!</v>
      </c>
      <c r="L271" s="104">
        <f>'R6'!S33</f>
        <v>1950.6997119458777</v>
      </c>
      <c r="M271" s="104">
        <f>'R6'!T33</f>
        <v>3713.3444717641332</v>
      </c>
      <c r="N271" s="104">
        <f>'R6'!U33</f>
        <v>5664.0441837100116</v>
      </c>
    </row>
    <row r="272" spans="3:14">
      <c r="C272" s="103" t="s">
        <v>24</v>
      </c>
      <c r="D272" s="231"/>
      <c r="E272" s="232"/>
      <c r="F272" s="232"/>
      <c r="G272" s="135"/>
      <c r="H272" s="232"/>
      <c r="I272" s="232"/>
      <c r="J272" s="233"/>
      <c r="K272" s="135" t="e">
        <f>+K271/#REF!</f>
        <v>#REF!</v>
      </c>
      <c r="L272" s="444"/>
      <c r="M272" s="445"/>
      <c r="N272" s="135">
        <f>+N271/G271</f>
        <v>0.86855708355287431</v>
      </c>
    </row>
    <row r="275" spans="3:14">
      <c r="C275" s="245" t="s">
        <v>7</v>
      </c>
      <c r="D275" s="241">
        <f>'R6'!E25</f>
        <v>22606</v>
      </c>
      <c r="E275" s="446" t="s">
        <v>136</v>
      </c>
      <c r="F275" s="446"/>
      <c r="G275" s="446"/>
      <c r="L275" s="447" t="s">
        <v>140</v>
      </c>
      <c r="M275" s="448"/>
      <c r="N275" s="449"/>
    </row>
    <row r="276" spans="3:14">
      <c r="C276" s="103" t="s">
        <v>9</v>
      </c>
      <c r="D276" s="247">
        <f>'R6'!E26</f>
        <v>211.7806466332525</v>
      </c>
      <c r="E276" s="446"/>
      <c r="F276" s="446"/>
      <c r="G276" s="446"/>
      <c r="H276" s="236"/>
      <c r="K276" s="237"/>
      <c r="L276" s="450"/>
      <c r="M276" s="451"/>
      <c r="N276" s="452"/>
    </row>
    <row r="277" spans="3:14" ht="45">
      <c r="C277" s="103"/>
      <c r="D277" s="247"/>
      <c r="E277" s="389" t="s">
        <v>60</v>
      </c>
      <c r="F277" s="390" t="s">
        <v>61</v>
      </c>
      <c r="G277" s="389" t="s">
        <v>62</v>
      </c>
      <c r="H277" s="391" t="s">
        <v>4</v>
      </c>
      <c r="I277" s="391" t="s">
        <v>5</v>
      </c>
      <c r="J277" s="392" t="s">
        <v>2</v>
      </c>
      <c r="K277" s="393" t="s">
        <v>6</v>
      </c>
      <c r="L277" s="389" t="s">
        <v>60</v>
      </c>
      <c r="M277" s="390" t="s">
        <v>61</v>
      </c>
      <c r="N277" s="389" t="s">
        <v>62</v>
      </c>
    </row>
    <row r="278" spans="3:14">
      <c r="C278" s="95" t="s">
        <v>10</v>
      </c>
      <c r="D278" s="96" t="s">
        <v>11</v>
      </c>
      <c r="E278" s="97">
        <f>'R6'!K27</f>
        <v>943.68000000000006</v>
      </c>
      <c r="F278" s="97"/>
      <c r="G278" s="97">
        <f>'R6'!M27</f>
        <v>943.68000000000006</v>
      </c>
      <c r="H278" s="136" t="e">
        <f>+'R1'!#REF!</f>
        <v>#REF!</v>
      </c>
      <c r="I278" s="119" t="e">
        <f>+'R1'!#REF!</f>
        <v>#REF!</v>
      </c>
      <c r="J278" s="99" t="e">
        <f>+'R1'!#REF!</f>
        <v>#REF!</v>
      </c>
      <c r="K278" s="99" t="e">
        <f>SUM(I278:J278)</f>
        <v>#REF!</v>
      </c>
      <c r="L278" s="98">
        <f>'R6'!AA27</f>
        <v>6022.6879026300103</v>
      </c>
      <c r="M278" s="98">
        <f>'R6'!AB27</f>
        <v>92.819437466669029</v>
      </c>
      <c r="N278" s="98">
        <f>'R6'!AC27</f>
        <v>6115.5073400966794</v>
      </c>
    </row>
    <row r="279" spans="3:14">
      <c r="C279" s="95" t="s">
        <v>95</v>
      </c>
      <c r="D279" s="96" t="s">
        <v>11</v>
      </c>
      <c r="E279" s="97"/>
      <c r="F279" s="97"/>
      <c r="G279" s="97"/>
      <c r="H279" s="136"/>
      <c r="I279" s="119"/>
      <c r="J279" s="99"/>
      <c r="K279" s="99"/>
      <c r="L279" s="98"/>
      <c r="M279" s="98"/>
      <c r="N279" s="98"/>
    </row>
    <row r="280" spans="3:14">
      <c r="C280" s="95" t="s">
        <v>138</v>
      </c>
      <c r="D280" s="96" t="s">
        <v>11</v>
      </c>
      <c r="E280" s="363">
        <f>'R6'!K29</f>
        <v>1574.6439316093561</v>
      </c>
      <c r="F280" s="363">
        <f>'R6'!L29</f>
        <v>175.42019939064372</v>
      </c>
      <c r="G280" s="363">
        <f>'R6'!M29</f>
        <v>1750.0641309999999</v>
      </c>
      <c r="H280" s="101"/>
      <c r="I280" s="101"/>
      <c r="J280" s="99" t="e">
        <f>+'R1'!#REF!</f>
        <v>#REF!</v>
      </c>
      <c r="K280" s="99" t="e">
        <f t="shared" ref="K280:K283" si="16">SUM(I280:J280)</f>
        <v>#REF!</v>
      </c>
      <c r="L280" s="98">
        <f>'R6'!AA29</f>
        <v>0</v>
      </c>
      <c r="M280" s="98">
        <f>'R6'!AB29</f>
        <v>87.466201976299303</v>
      </c>
      <c r="N280" s="98">
        <f>'R6'!AC29</f>
        <v>87.466201976299303</v>
      </c>
    </row>
    <row r="281" spans="3:14">
      <c r="C281" s="95" t="s">
        <v>13</v>
      </c>
      <c r="D281" s="96" t="s">
        <v>11</v>
      </c>
      <c r="E281" s="363">
        <f>'R6'!K30</f>
        <v>130.83575091580732</v>
      </c>
      <c r="F281" s="363">
        <f>'R6'!L30</f>
        <v>218.22349508419268</v>
      </c>
      <c r="G281" s="363">
        <f>'R6'!M30</f>
        <v>349.05924600000003</v>
      </c>
      <c r="H281" s="101"/>
      <c r="I281" s="101"/>
      <c r="J281" s="99" t="e">
        <f>+'R1'!#REF!</f>
        <v>#REF!</v>
      </c>
      <c r="K281" s="99" t="e">
        <f t="shared" si="16"/>
        <v>#REF!</v>
      </c>
      <c r="L281" s="98">
        <f>'R6'!AA30</f>
        <v>0</v>
      </c>
      <c r="M281" s="98">
        <f>'R6'!AB30</f>
        <v>0</v>
      </c>
      <c r="N281" s="98">
        <f>'R6'!AC30</f>
        <v>0</v>
      </c>
    </row>
    <row r="282" spans="3:14">
      <c r="C282" s="95" t="s">
        <v>14</v>
      </c>
      <c r="D282" s="96" t="s">
        <v>11</v>
      </c>
      <c r="E282" s="363">
        <f>'R6'!K31</f>
        <v>17.472410746261101</v>
      </c>
      <c r="F282" s="363">
        <f>'R6'!L31</f>
        <v>1085.8360252537389</v>
      </c>
      <c r="G282" s="363">
        <f>'R6'!M31</f>
        <v>1103.308436</v>
      </c>
      <c r="H282" s="101"/>
      <c r="I282" s="101"/>
      <c r="J282" s="99" t="e">
        <f>+'R1'!#REF!</f>
        <v>#REF!</v>
      </c>
      <c r="K282" s="99" t="e">
        <f t="shared" si="16"/>
        <v>#REF!</v>
      </c>
      <c r="L282" s="98">
        <f>'R6'!AA31</f>
        <v>-18.544167482285076</v>
      </c>
      <c r="M282" s="98">
        <f>'R6'!AB31</f>
        <v>375.96552479124972</v>
      </c>
      <c r="N282" s="98">
        <f>'R6'!AC31</f>
        <v>357.42135730896462</v>
      </c>
    </row>
    <row r="283" spans="3:14">
      <c r="C283" s="95" t="s">
        <v>15</v>
      </c>
      <c r="D283" s="96" t="s">
        <v>11</v>
      </c>
      <c r="E283" s="363">
        <f>'R6'!K32</f>
        <v>24.474277911626864</v>
      </c>
      <c r="F283" s="363">
        <f>'R6'!L32</f>
        <v>2350.6251120883735</v>
      </c>
      <c r="G283" s="363">
        <f>'R6'!M32</f>
        <v>2375.0993900000003</v>
      </c>
      <c r="H283" s="100" t="e">
        <f>+I283/$D$75</f>
        <v>#REF!</v>
      </c>
      <c r="I283" s="99" t="e">
        <f>+'R1'!#REF!</f>
        <v>#REF!</v>
      </c>
      <c r="J283" s="99" t="e">
        <f>+'R1'!#REF!</f>
        <v>#REF!</v>
      </c>
      <c r="K283" s="99" t="e">
        <f t="shared" si="16"/>
        <v>#REF!</v>
      </c>
      <c r="L283" s="98">
        <f>'R6'!AA32</f>
        <v>31.756162831167586</v>
      </c>
      <c r="M283" s="98">
        <f>'R6'!AB32</f>
        <v>3223.9276910748677</v>
      </c>
      <c r="N283" s="98">
        <f>'R6'!AC32</f>
        <v>3255.6838539060354</v>
      </c>
    </row>
    <row r="284" spans="3:14">
      <c r="C284" s="103" t="s">
        <v>16</v>
      </c>
      <c r="D284" s="96" t="s">
        <v>11</v>
      </c>
      <c r="E284" s="376">
        <f>'R6'!K33</f>
        <v>2691.1063711830511</v>
      </c>
      <c r="F284" s="376">
        <f>'R6'!L33</f>
        <v>3830.1048318169487</v>
      </c>
      <c r="G284" s="376">
        <f>'R6'!M33</f>
        <v>6521.2112030000008</v>
      </c>
      <c r="H284" s="101"/>
      <c r="I284" s="104" t="e">
        <f>SUM(I278:I283)</f>
        <v>#REF!</v>
      </c>
      <c r="J284" s="104" t="e">
        <f>SUM(J278:J283)</f>
        <v>#REF!</v>
      </c>
      <c r="K284" s="104" t="e">
        <f>SUM(K278:K283)</f>
        <v>#REF!</v>
      </c>
      <c r="L284" s="104">
        <f>'R6'!AA33</f>
        <v>6035.899897978893</v>
      </c>
      <c r="M284" s="104">
        <f>'R6'!AB33</f>
        <v>3780.1788553090855</v>
      </c>
      <c r="N284" s="104">
        <f>'R6'!AC33</f>
        <v>9816.0787532879785</v>
      </c>
    </row>
    <row r="285" spans="3:14">
      <c r="C285" s="103" t="s">
        <v>24</v>
      </c>
      <c r="D285" s="231"/>
      <c r="E285" s="232"/>
      <c r="F285" s="232"/>
      <c r="G285" s="135"/>
      <c r="H285" s="232"/>
      <c r="I285" s="232"/>
      <c r="J285" s="233"/>
      <c r="K285" s="135" t="e">
        <f>+K284/#REF!</f>
        <v>#REF!</v>
      </c>
      <c r="L285" s="444"/>
      <c r="M285" s="445"/>
      <c r="N285" s="135">
        <f>+N284/G284</f>
        <v>1.5052539241133942</v>
      </c>
    </row>
    <row r="288" spans="3:14">
      <c r="C288" s="245" t="s">
        <v>7</v>
      </c>
      <c r="D288" s="241">
        <f>'R6'!E25</f>
        <v>22606</v>
      </c>
      <c r="E288" s="446" t="s">
        <v>136</v>
      </c>
      <c r="F288" s="446"/>
      <c r="G288" s="446"/>
      <c r="H288" s="411"/>
      <c r="I288" s="411"/>
      <c r="J288" s="411"/>
      <c r="K288" s="411"/>
      <c r="L288" s="447" t="s">
        <v>142</v>
      </c>
      <c r="M288" s="448"/>
      <c r="N288" s="449"/>
    </row>
    <row r="289" spans="3:14">
      <c r="C289" s="103" t="s">
        <v>9</v>
      </c>
      <c r="D289" s="247">
        <f>'R6'!E26</f>
        <v>211.7806466332525</v>
      </c>
      <c r="E289" s="446"/>
      <c r="F289" s="446"/>
      <c r="G289" s="446"/>
      <c r="H289" s="411"/>
      <c r="I289" s="411"/>
      <c r="J289" s="411"/>
      <c r="K289" s="411"/>
      <c r="L289" s="450"/>
      <c r="M289" s="451"/>
      <c r="N289" s="452"/>
    </row>
    <row r="290" spans="3:14" ht="45">
      <c r="C290" s="103"/>
      <c r="D290" s="247"/>
      <c r="E290" s="389" t="s">
        <v>60</v>
      </c>
      <c r="F290" s="390" t="s">
        <v>61</v>
      </c>
      <c r="G290" s="389" t="s">
        <v>62</v>
      </c>
      <c r="H290" s="391" t="s">
        <v>4</v>
      </c>
      <c r="I290" s="391" t="s">
        <v>5</v>
      </c>
      <c r="J290" s="392" t="s">
        <v>2</v>
      </c>
      <c r="K290" s="393" t="s">
        <v>6</v>
      </c>
      <c r="L290" s="389" t="s">
        <v>60</v>
      </c>
      <c r="M290" s="390" t="s">
        <v>61</v>
      </c>
      <c r="N290" s="389" t="s">
        <v>62</v>
      </c>
    </row>
    <row r="291" spans="3:14">
      <c r="C291" s="95" t="s">
        <v>10</v>
      </c>
      <c r="D291" s="96" t="s">
        <v>11</v>
      </c>
      <c r="E291" s="97">
        <f>'R6'!K27</f>
        <v>943.68000000000006</v>
      </c>
      <c r="F291" s="97"/>
      <c r="G291" s="97">
        <f>'R6'!M27</f>
        <v>943.68000000000006</v>
      </c>
      <c r="H291" s="136" t="e">
        <f>+'R1'!#REF!</f>
        <v>#REF!</v>
      </c>
      <c r="I291" s="119" t="e">
        <f>+'R1'!#REF!</f>
        <v>#REF!</v>
      </c>
      <c r="J291" s="99" t="e">
        <f>+'R1'!#REF!</f>
        <v>#REF!</v>
      </c>
      <c r="K291" s="99" t="e">
        <f>SUM(I291:J291)</f>
        <v>#REF!</v>
      </c>
      <c r="L291" s="383">
        <f>'R6'!AI27</f>
        <v>349.20000000000005</v>
      </c>
      <c r="M291" s="383"/>
      <c r="N291" s="383">
        <f>'R6'!AK27</f>
        <v>349.20000000000005</v>
      </c>
    </row>
    <row r="292" spans="3:14">
      <c r="C292" s="95" t="s">
        <v>95</v>
      </c>
      <c r="D292" s="96" t="s">
        <v>11</v>
      </c>
      <c r="E292" s="97"/>
      <c r="F292" s="97"/>
      <c r="G292" s="97"/>
      <c r="H292" s="136"/>
      <c r="I292" s="119"/>
      <c r="J292" s="99"/>
      <c r="K292" s="99"/>
      <c r="L292" s="98"/>
      <c r="M292" s="98"/>
      <c r="N292" s="98"/>
    </row>
    <row r="293" spans="3:14">
      <c r="C293" s="95" t="s">
        <v>138</v>
      </c>
      <c r="D293" s="96" t="s">
        <v>11</v>
      </c>
      <c r="E293" s="363">
        <f>'R6'!K29</f>
        <v>1574.6439316093561</v>
      </c>
      <c r="F293" s="363">
        <f>'R6'!L29</f>
        <v>175.42019939064372</v>
      </c>
      <c r="G293" s="363">
        <f>'R6'!M29</f>
        <v>1750.0641309999999</v>
      </c>
      <c r="H293" s="101"/>
      <c r="I293" s="101"/>
      <c r="J293" s="99" t="e">
        <f>+'R1'!#REF!</f>
        <v>#REF!</v>
      </c>
      <c r="K293" s="99" t="e">
        <f t="shared" ref="K293:K296" si="17">SUM(I293:J293)</f>
        <v>#REF!</v>
      </c>
      <c r="L293" s="98">
        <f>'R6'!AI29</f>
        <v>1661.1620288653723</v>
      </c>
      <c r="M293" s="98">
        <f>'R6'!AJ29</f>
        <v>114.64301954011847</v>
      </c>
      <c r="N293" s="98">
        <f>'R6'!AK29</f>
        <v>1775.8050484054909</v>
      </c>
    </row>
    <row r="294" spans="3:14">
      <c r="C294" s="95" t="s">
        <v>13</v>
      </c>
      <c r="D294" s="96" t="s">
        <v>11</v>
      </c>
      <c r="E294" s="363">
        <f>'R6'!K30</f>
        <v>130.83575091580732</v>
      </c>
      <c r="F294" s="363">
        <f>'R6'!L30</f>
        <v>218.22349508419268</v>
      </c>
      <c r="G294" s="363">
        <f>'R6'!M30</f>
        <v>349.05924600000003</v>
      </c>
      <c r="H294" s="101"/>
      <c r="I294" s="101"/>
      <c r="J294" s="99" t="e">
        <f>+'R1'!#REF!</f>
        <v>#REF!</v>
      </c>
      <c r="K294" s="99" t="e">
        <f t="shared" si="17"/>
        <v>#REF!</v>
      </c>
      <c r="L294" s="98">
        <f>'R6'!AI30</f>
        <v>0</v>
      </c>
      <c r="M294" s="98">
        <f>'R6'!AJ30</f>
        <v>0</v>
      </c>
      <c r="N294" s="98">
        <f>'R6'!AK30</f>
        <v>0</v>
      </c>
    </row>
    <row r="295" spans="3:14">
      <c r="C295" s="95" t="s">
        <v>14</v>
      </c>
      <c r="D295" s="96" t="s">
        <v>11</v>
      </c>
      <c r="E295" s="363">
        <f>'R6'!K31</f>
        <v>17.472410746261101</v>
      </c>
      <c r="F295" s="363">
        <f>'R6'!L31</f>
        <v>1085.8360252537389</v>
      </c>
      <c r="G295" s="363">
        <f>'R6'!M31</f>
        <v>1103.308436</v>
      </c>
      <c r="H295" s="101"/>
      <c r="I295" s="101"/>
      <c r="J295" s="99" t="e">
        <f>+'R1'!#REF!</f>
        <v>#REF!</v>
      </c>
      <c r="K295" s="99" t="e">
        <f t="shared" si="17"/>
        <v>#REF!</v>
      </c>
      <c r="L295" s="98">
        <f>'R6'!AI31</f>
        <v>-18.544167482285076</v>
      </c>
      <c r="M295" s="98">
        <f>'R6'!AJ31</f>
        <v>375.96552479124972</v>
      </c>
      <c r="N295" s="98">
        <f>'R6'!AK31</f>
        <v>357.42135730896462</v>
      </c>
    </row>
    <row r="296" spans="3:14">
      <c r="C296" s="95" t="s">
        <v>15</v>
      </c>
      <c r="D296" s="96" t="s">
        <v>11</v>
      </c>
      <c r="E296" s="363">
        <f>'R6'!K32</f>
        <v>24.474277911626864</v>
      </c>
      <c r="F296" s="363">
        <f>'R6'!L32</f>
        <v>2350.6251120883735</v>
      </c>
      <c r="G296" s="363">
        <f>'R6'!M32</f>
        <v>2375.0993900000003</v>
      </c>
      <c r="H296" s="100" t="e">
        <f>+I296/$D$75</f>
        <v>#REF!</v>
      </c>
      <c r="I296" s="99" t="e">
        <f>+'R1'!#REF!</f>
        <v>#REF!</v>
      </c>
      <c r="J296" s="99" t="e">
        <f>+'R1'!#REF!</f>
        <v>#REF!</v>
      </c>
      <c r="K296" s="99" t="e">
        <f t="shared" si="17"/>
        <v>#REF!</v>
      </c>
      <c r="L296" s="98">
        <f>'R6'!AI32</f>
        <v>31.756162831167586</v>
      </c>
      <c r="M296" s="98">
        <f>'R6'!AJ32</f>
        <v>3223.9276910748677</v>
      </c>
      <c r="N296" s="98">
        <f>'R6'!AK32</f>
        <v>3255.6838539060354</v>
      </c>
    </row>
    <row r="297" spans="3:14">
      <c r="C297" s="103" t="s">
        <v>16</v>
      </c>
      <c r="D297" s="96" t="s">
        <v>11</v>
      </c>
      <c r="E297" s="376">
        <f>'R6'!K33</f>
        <v>2691.1063711830511</v>
      </c>
      <c r="F297" s="376">
        <f>'R6'!L33</f>
        <v>3830.1048318169487</v>
      </c>
      <c r="G297" s="376">
        <f>'R6'!M33</f>
        <v>6521.2112030000008</v>
      </c>
      <c r="H297" s="101"/>
      <c r="I297" s="104" t="e">
        <f>SUM(I291:I296)</f>
        <v>#REF!</v>
      </c>
      <c r="J297" s="104" t="e">
        <f>SUM(J291:J296)</f>
        <v>#REF!</v>
      </c>
      <c r="K297" s="104" t="e">
        <f>SUM(K291:K296)</f>
        <v>#REF!</v>
      </c>
      <c r="L297" s="104">
        <f>'R6'!AI33</f>
        <v>2023.5740242142549</v>
      </c>
      <c r="M297" s="104">
        <f>'R6'!AJ33</f>
        <v>3714.5362354062358</v>
      </c>
      <c r="N297" s="104">
        <f>'R6'!AK33</f>
        <v>5738.110259620491</v>
      </c>
    </row>
    <row r="298" spans="3:14">
      <c r="C298" s="103" t="s">
        <v>24</v>
      </c>
      <c r="D298" s="231"/>
      <c r="E298" s="232"/>
      <c r="F298" s="232"/>
      <c r="G298" s="135"/>
      <c r="H298" s="232"/>
      <c r="I298" s="232"/>
      <c r="J298" s="233"/>
      <c r="K298" s="135" t="e">
        <f>+K297/#REF!</f>
        <v>#REF!</v>
      </c>
      <c r="L298" s="444"/>
      <c r="M298" s="445"/>
      <c r="N298" s="135">
        <f>+N297/G297</f>
        <v>0.87991480125359933</v>
      </c>
    </row>
    <row r="301" spans="3:14">
      <c r="C301" s="245" t="s">
        <v>7</v>
      </c>
      <c r="D301" s="241">
        <f>'R6'!E40</f>
        <v>22606</v>
      </c>
      <c r="E301" s="446" t="s">
        <v>136</v>
      </c>
      <c r="F301" s="446"/>
      <c r="G301" s="446"/>
      <c r="L301" s="447" t="s">
        <v>137</v>
      </c>
      <c r="M301" s="448"/>
      <c r="N301" s="449"/>
    </row>
    <row r="302" spans="3:14">
      <c r="C302" s="103" t="s">
        <v>9</v>
      </c>
      <c r="D302" s="247">
        <f>'R6'!E41</f>
        <v>442.3874755381604</v>
      </c>
      <c r="E302" s="446"/>
      <c r="F302" s="446"/>
      <c r="G302" s="446"/>
      <c r="H302" s="236"/>
      <c r="K302" s="237"/>
      <c r="L302" s="450"/>
      <c r="M302" s="451"/>
      <c r="N302" s="452"/>
    </row>
    <row r="303" spans="3:14" ht="45">
      <c r="C303" s="103"/>
      <c r="D303" s="247"/>
      <c r="E303" s="389" t="s">
        <v>60</v>
      </c>
      <c r="F303" s="390" t="s">
        <v>61</v>
      </c>
      <c r="G303" s="389" t="s">
        <v>62</v>
      </c>
      <c r="H303" s="391" t="s">
        <v>4</v>
      </c>
      <c r="I303" s="391" t="s">
        <v>5</v>
      </c>
      <c r="J303" s="392" t="s">
        <v>2</v>
      </c>
      <c r="K303" s="393" t="s">
        <v>6</v>
      </c>
      <c r="L303" s="389" t="s">
        <v>60</v>
      </c>
      <c r="M303" s="390" t="s">
        <v>61</v>
      </c>
      <c r="N303" s="389" t="s">
        <v>62</v>
      </c>
    </row>
    <row r="304" spans="3:14">
      <c r="C304" s="95" t="s">
        <v>10</v>
      </c>
      <c r="D304" s="96" t="s">
        <v>11</v>
      </c>
      <c r="E304" s="97">
        <f>'R6'!K42</f>
        <v>943.68000000000006</v>
      </c>
      <c r="F304" s="97"/>
      <c r="G304" s="97">
        <f>'R6'!M42</f>
        <v>943.68000000000006</v>
      </c>
      <c r="H304" s="136"/>
      <c r="I304" s="119"/>
      <c r="J304" s="99"/>
      <c r="K304" s="99"/>
      <c r="L304" s="98">
        <f>'R6'!S42</f>
        <v>349.17132188263611</v>
      </c>
      <c r="M304" s="98">
        <f>'R6'!T42</f>
        <v>0</v>
      </c>
      <c r="N304" s="98">
        <f>'R6'!U42</f>
        <v>349.17132188263611</v>
      </c>
    </row>
    <row r="305" spans="3:14">
      <c r="C305" s="95" t="s">
        <v>95</v>
      </c>
      <c r="D305" s="96" t="s">
        <v>11</v>
      </c>
      <c r="E305" s="97"/>
      <c r="F305" s="97"/>
      <c r="G305" s="97"/>
      <c r="H305" s="136"/>
      <c r="I305" s="119"/>
      <c r="J305" s="99"/>
      <c r="K305" s="99"/>
      <c r="L305" s="98">
        <f>'R6'!S43</f>
        <v>3317.8257380163818</v>
      </c>
      <c r="M305" s="98">
        <f>'R6'!T43</f>
        <v>54.280042057187231</v>
      </c>
      <c r="N305" s="98">
        <f>'R6'!U43</f>
        <v>3372.1057800735689</v>
      </c>
    </row>
    <row r="306" spans="3:14">
      <c r="C306" s="95" t="s">
        <v>138</v>
      </c>
      <c r="D306" s="96" t="s">
        <v>11</v>
      </c>
      <c r="E306" s="363">
        <f>'R6'!K44</f>
        <v>1574.6439316093561</v>
      </c>
      <c r="F306" s="363">
        <f>'R6'!L44</f>
        <v>175.42019939064372</v>
      </c>
      <c r="G306" s="363">
        <f>'R6'!M44</f>
        <v>1750.0641309999999</v>
      </c>
      <c r="H306" s="101"/>
      <c r="I306" s="101"/>
      <c r="J306" s="99" t="e">
        <f>+'R1'!#REF!</f>
        <v>#REF!</v>
      </c>
      <c r="K306" s="99" t="e">
        <f t="shared" ref="K306:K309" si="18">SUM(I306:J306)</f>
        <v>#REF!</v>
      </c>
      <c r="L306" s="98">
        <f>'R6'!S44</f>
        <v>0</v>
      </c>
      <c r="M306" s="98">
        <f>'R6'!T44</f>
        <v>87.466201976299303</v>
      </c>
      <c r="N306" s="98">
        <f>'R6'!U44</f>
        <v>87.466201976299303</v>
      </c>
    </row>
    <row r="307" spans="3:14">
      <c r="C307" s="95" t="s">
        <v>13</v>
      </c>
      <c r="D307" s="96" t="s">
        <v>11</v>
      </c>
      <c r="E307" s="363">
        <f>'R6'!K45</f>
        <v>130.83575091580732</v>
      </c>
      <c r="F307" s="363">
        <f>'R6'!L45</f>
        <v>218.22349508419268</v>
      </c>
      <c r="G307" s="363">
        <f>'R6'!M45</f>
        <v>349.05924600000003</v>
      </c>
      <c r="H307" s="101"/>
      <c r="I307" s="101"/>
      <c r="J307" s="99" t="e">
        <f>+'R1'!#REF!</f>
        <v>#REF!</v>
      </c>
      <c r="K307" s="99" t="e">
        <f t="shared" si="18"/>
        <v>#REF!</v>
      </c>
      <c r="L307" s="98">
        <f>'R6'!S45</f>
        <v>0</v>
      </c>
      <c r="M307" s="98">
        <f>'R6'!T45</f>
        <v>0</v>
      </c>
      <c r="N307" s="98">
        <f>'R6'!U45</f>
        <v>0</v>
      </c>
    </row>
    <row r="308" spans="3:14">
      <c r="C308" s="95" t="s">
        <v>14</v>
      </c>
      <c r="D308" s="96" t="s">
        <v>11</v>
      </c>
      <c r="E308" s="363">
        <f>'R6'!K46</f>
        <v>17.472410746261101</v>
      </c>
      <c r="F308" s="363">
        <f>'R6'!L46</f>
        <v>1085.8360252537389</v>
      </c>
      <c r="G308" s="363">
        <f>'R6'!M46</f>
        <v>1103.308436</v>
      </c>
      <c r="H308" s="101"/>
      <c r="I308" s="101"/>
      <c r="J308" s="99" t="e">
        <f>+'R1'!#REF!</f>
        <v>#REF!</v>
      </c>
      <c r="K308" s="99" t="e">
        <f t="shared" si="18"/>
        <v>#REF!</v>
      </c>
      <c r="L308" s="98">
        <f>'R6'!S46</f>
        <v>-18.544167482285076</v>
      </c>
      <c r="M308" s="98">
        <f>'R6'!T46</f>
        <v>375.96552479124972</v>
      </c>
      <c r="N308" s="98">
        <f>'R6'!U46</f>
        <v>357.42135730896462</v>
      </c>
    </row>
    <row r="309" spans="3:14">
      <c r="C309" s="95" t="s">
        <v>15</v>
      </c>
      <c r="D309" s="96" t="s">
        <v>11</v>
      </c>
      <c r="E309" s="363">
        <f>'R6'!K47</f>
        <v>24.474277911626864</v>
      </c>
      <c r="F309" s="363">
        <f>'R6'!L47</f>
        <v>2350.6251120883735</v>
      </c>
      <c r="G309" s="363">
        <f>'R6'!M47</f>
        <v>2375.0993900000003</v>
      </c>
      <c r="H309" s="100" t="e">
        <f>+I309/$D$75</f>
        <v>#REF!</v>
      </c>
      <c r="I309" s="99" t="e">
        <f>+'R1'!#REF!</f>
        <v>#REF!</v>
      </c>
      <c r="J309" s="99" t="e">
        <f>+'R1'!#REF!</f>
        <v>#REF!</v>
      </c>
      <c r="K309" s="99" t="e">
        <f t="shared" si="18"/>
        <v>#REF!</v>
      </c>
      <c r="L309" s="98">
        <f>'R6'!S47</f>
        <v>31.756162831167586</v>
      </c>
      <c r="M309" s="98">
        <f>'R6'!T47</f>
        <v>3223.9276910748677</v>
      </c>
      <c r="N309" s="98">
        <f>'R6'!U47</f>
        <v>3255.6838539060354</v>
      </c>
    </row>
    <row r="310" spans="3:14">
      <c r="C310" s="103" t="s">
        <v>16</v>
      </c>
      <c r="D310" s="96" t="s">
        <v>11</v>
      </c>
      <c r="E310" s="376">
        <f>'R6'!K48</f>
        <v>2691.1063711830511</v>
      </c>
      <c r="F310" s="376">
        <f>'R6'!L48</f>
        <v>3830.1048318169487</v>
      </c>
      <c r="G310" s="376">
        <f>'R6'!M48</f>
        <v>6521.2112030000008</v>
      </c>
      <c r="H310" s="101"/>
      <c r="I310" s="104" t="e">
        <f>SUM(I304:I309)</f>
        <v>#REF!</v>
      </c>
      <c r="J310" s="104" t="e">
        <f>SUM(J304:J309)</f>
        <v>#REF!</v>
      </c>
      <c r="K310" s="104" t="e">
        <f>SUM(K304:K309)</f>
        <v>#REF!</v>
      </c>
      <c r="L310" s="104">
        <f>'R6'!S48</f>
        <v>3680.2090552479008</v>
      </c>
      <c r="M310" s="104">
        <f>'R6'!T48</f>
        <v>3741.6394598996039</v>
      </c>
      <c r="N310" s="104">
        <f>'R6'!U48</f>
        <v>7421.8485151475043</v>
      </c>
    </row>
    <row r="311" spans="3:14">
      <c r="C311" s="103" t="s">
        <v>24</v>
      </c>
      <c r="D311" s="231"/>
      <c r="E311" s="232"/>
      <c r="F311" s="232"/>
      <c r="G311" s="135"/>
      <c r="H311" s="232"/>
      <c r="I311" s="232"/>
      <c r="J311" s="233"/>
      <c r="K311" s="135" t="e">
        <f>+K310/#REF!</f>
        <v>#REF!</v>
      </c>
      <c r="L311" s="444"/>
      <c r="M311" s="445"/>
      <c r="N311" s="135">
        <f>+N310/G310</f>
        <v>1.1381089009558802</v>
      </c>
    </row>
    <row r="314" spans="3:14">
      <c r="C314" s="245" t="s">
        <v>7</v>
      </c>
      <c r="D314" s="241">
        <f>'R6'!E40</f>
        <v>22606</v>
      </c>
      <c r="E314" s="446" t="s">
        <v>136</v>
      </c>
      <c r="F314" s="446"/>
      <c r="G314" s="446"/>
      <c r="L314" s="447" t="s">
        <v>140</v>
      </c>
      <c r="M314" s="448"/>
      <c r="N314" s="449"/>
    </row>
    <row r="315" spans="3:14">
      <c r="C315" s="103" t="s">
        <v>9</v>
      </c>
      <c r="D315" s="247">
        <f>'R6'!E41</f>
        <v>442.3874755381604</v>
      </c>
      <c r="E315" s="446"/>
      <c r="F315" s="446"/>
      <c r="G315" s="446"/>
      <c r="H315" s="236"/>
      <c r="K315" s="237"/>
      <c r="L315" s="450"/>
      <c r="M315" s="451"/>
      <c r="N315" s="452"/>
    </row>
    <row r="316" spans="3:14" ht="45">
      <c r="C316" s="103"/>
      <c r="D316" s="247"/>
      <c r="E316" s="389" t="s">
        <v>60</v>
      </c>
      <c r="F316" s="390" t="s">
        <v>61</v>
      </c>
      <c r="G316" s="389" t="s">
        <v>62</v>
      </c>
      <c r="H316" s="391" t="s">
        <v>4</v>
      </c>
      <c r="I316" s="391" t="s">
        <v>5</v>
      </c>
      <c r="J316" s="392" t="s">
        <v>2</v>
      </c>
      <c r="K316" s="393" t="s">
        <v>6</v>
      </c>
      <c r="L316" s="389" t="s">
        <v>60</v>
      </c>
      <c r="M316" s="390" t="s">
        <v>61</v>
      </c>
      <c r="N316" s="389" t="s">
        <v>62</v>
      </c>
    </row>
    <row r="317" spans="3:14">
      <c r="C317" s="95" t="s">
        <v>10</v>
      </c>
      <c r="D317" s="96" t="s">
        <v>11</v>
      </c>
      <c r="E317" s="97">
        <f>'R6'!K42</f>
        <v>943.68000000000006</v>
      </c>
      <c r="F317" s="97"/>
      <c r="G317" s="97">
        <f>'R6'!M42</f>
        <v>943.68000000000006</v>
      </c>
      <c r="H317" s="136" t="e">
        <f>+'R1'!#REF!</f>
        <v>#REF!</v>
      </c>
      <c r="I317" s="119" t="e">
        <f>+'R1'!#REF!</f>
        <v>#REF!</v>
      </c>
      <c r="J317" s="99" t="e">
        <f>+'R1'!#REF!</f>
        <v>#REF!</v>
      </c>
      <c r="K317" s="99" t="e">
        <f>SUM(I317:J317)</f>
        <v>#REF!</v>
      </c>
      <c r="L317" s="98">
        <f>'R6'!AA42</f>
        <v>6022.6879026300103</v>
      </c>
      <c r="M317" s="98">
        <f>'R6'!AB42</f>
        <v>92.819437466669029</v>
      </c>
      <c r="N317" s="98">
        <f>'R6'!AC42</f>
        <v>6115.5073400966794</v>
      </c>
    </row>
    <row r="318" spans="3:14">
      <c r="C318" s="95" t="s">
        <v>95</v>
      </c>
      <c r="D318" s="96" t="s">
        <v>11</v>
      </c>
      <c r="E318" s="97"/>
      <c r="F318" s="97"/>
      <c r="G318" s="97"/>
      <c r="H318" s="136"/>
      <c r="I318" s="119"/>
      <c r="J318" s="99"/>
      <c r="K318" s="99"/>
      <c r="L318" s="98"/>
      <c r="M318" s="98"/>
      <c r="N318" s="98"/>
    </row>
    <row r="319" spans="3:14">
      <c r="C319" s="95" t="s">
        <v>138</v>
      </c>
      <c r="D319" s="96" t="s">
        <v>11</v>
      </c>
      <c r="E319" s="363">
        <f>'R6'!K44</f>
        <v>1574.6439316093561</v>
      </c>
      <c r="F319" s="363">
        <f>'R6'!L44</f>
        <v>175.42019939064372</v>
      </c>
      <c r="G319" s="363">
        <f>'R6'!M44</f>
        <v>1750.0641309999999</v>
      </c>
      <c r="H319" s="101"/>
      <c r="I319" s="101"/>
      <c r="J319" s="99" t="e">
        <f>+'R1'!#REF!</f>
        <v>#REF!</v>
      </c>
      <c r="K319" s="99" t="e">
        <f t="shared" ref="K319:K322" si="19">SUM(I319:J319)</f>
        <v>#REF!</v>
      </c>
      <c r="L319" s="98">
        <f>'R6'!AA44</f>
        <v>0</v>
      </c>
      <c r="M319" s="98">
        <f>'R6'!AB44</f>
        <v>87.466201976299303</v>
      </c>
      <c r="N319" s="98">
        <f>'R6'!AC44</f>
        <v>87.466201976299303</v>
      </c>
    </row>
    <row r="320" spans="3:14">
      <c r="C320" s="95" t="s">
        <v>13</v>
      </c>
      <c r="D320" s="96" t="s">
        <v>11</v>
      </c>
      <c r="E320" s="363">
        <f>'R6'!K45</f>
        <v>130.83575091580732</v>
      </c>
      <c r="F320" s="363">
        <f>'R6'!L45</f>
        <v>218.22349508419268</v>
      </c>
      <c r="G320" s="363">
        <f>'R6'!M45</f>
        <v>349.05924600000003</v>
      </c>
      <c r="H320" s="101"/>
      <c r="I320" s="101"/>
      <c r="J320" s="99" t="e">
        <f>+'R1'!#REF!</f>
        <v>#REF!</v>
      </c>
      <c r="K320" s="99" t="e">
        <f t="shared" si="19"/>
        <v>#REF!</v>
      </c>
      <c r="L320" s="98">
        <f>'R6'!AA45</f>
        <v>0</v>
      </c>
      <c r="M320" s="98">
        <f>'R6'!AB45</f>
        <v>0</v>
      </c>
      <c r="N320" s="98">
        <f>'R6'!AC45</f>
        <v>0</v>
      </c>
    </row>
    <row r="321" spans="3:15">
      <c r="C321" s="95" t="s">
        <v>14</v>
      </c>
      <c r="D321" s="96" t="s">
        <v>11</v>
      </c>
      <c r="E321" s="363">
        <f>'R6'!K46</f>
        <v>17.472410746261101</v>
      </c>
      <c r="F321" s="363">
        <f>'R6'!L46</f>
        <v>1085.8360252537389</v>
      </c>
      <c r="G321" s="363">
        <f>'R6'!M46</f>
        <v>1103.308436</v>
      </c>
      <c r="H321" s="101"/>
      <c r="I321" s="101"/>
      <c r="J321" s="99" t="e">
        <f>+'R1'!#REF!</f>
        <v>#REF!</v>
      </c>
      <c r="K321" s="99" t="e">
        <f t="shared" si="19"/>
        <v>#REF!</v>
      </c>
      <c r="L321" s="98">
        <f>'R6'!AA46</f>
        <v>-18.544167482285076</v>
      </c>
      <c r="M321" s="98">
        <f>'R6'!AB46</f>
        <v>375.96552479124972</v>
      </c>
      <c r="N321" s="98">
        <f>'R6'!AC46</f>
        <v>357.42135730896462</v>
      </c>
    </row>
    <row r="322" spans="3:15">
      <c r="C322" s="95" t="s">
        <v>15</v>
      </c>
      <c r="D322" s="96" t="s">
        <v>11</v>
      </c>
      <c r="E322" s="363">
        <f>'R6'!K47</f>
        <v>24.474277911626864</v>
      </c>
      <c r="F322" s="363">
        <f>'R6'!L47</f>
        <v>2350.6251120883735</v>
      </c>
      <c r="G322" s="363">
        <f>'R6'!M47</f>
        <v>2375.0993900000003</v>
      </c>
      <c r="H322" s="100" t="e">
        <f>+I322/$D$75</f>
        <v>#REF!</v>
      </c>
      <c r="I322" s="99" t="e">
        <f>+'R1'!#REF!</f>
        <v>#REF!</v>
      </c>
      <c r="J322" s="99" t="e">
        <f>+'R1'!#REF!</f>
        <v>#REF!</v>
      </c>
      <c r="K322" s="99" t="e">
        <f t="shared" si="19"/>
        <v>#REF!</v>
      </c>
      <c r="L322" s="98">
        <f>'R6'!AA47</f>
        <v>31.756162831167586</v>
      </c>
      <c r="M322" s="98">
        <f>'R6'!AB47</f>
        <v>3223.9276910748677</v>
      </c>
      <c r="N322" s="98">
        <f>'R6'!AC47</f>
        <v>3255.6838539060354</v>
      </c>
    </row>
    <row r="323" spans="3:15">
      <c r="C323" s="103" t="s">
        <v>16</v>
      </c>
      <c r="D323" s="96" t="s">
        <v>11</v>
      </c>
      <c r="E323" s="376">
        <f>'R6'!K48</f>
        <v>2691.1063711830511</v>
      </c>
      <c r="F323" s="376">
        <f>'R6'!L48</f>
        <v>3830.1048318169487</v>
      </c>
      <c r="G323" s="376">
        <f>'R6'!M48</f>
        <v>6521.2112030000008</v>
      </c>
      <c r="H323" s="101"/>
      <c r="I323" s="104" t="e">
        <f>SUM(I317:I322)</f>
        <v>#REF!</v>
      </c>
      <c r="J323" s="104" t="e">
        <f>SUM(J317:J322)</f>
        <v>#REF!</v>
      </c>
      <c r="K323" s="104" t="e">
        <f>SUM(K317:K322)</f>
        <v>#REF!</v>
      </c>
      <c r="L323" s="104">
        <f>'R6'!AA48</f>
        <v>6035.899897978893</v>
      </c>
      <c r="M323" s="104">
        <f>'R6'!AB48</f>
        <v>3780.1788553090855</v>
      </c>
      <c r="N323" s="104">
        <f>'R6'!AC48</f>
        <v>9816.0787532879785</v>
      </c>
    </row>
    <row r="324" spans="3:15">
      <c r="C324" s="103" t="s">
        <v>24</v>
      </c>
      <c r="D324" s="231"/>
      <c r="E324" s="232"/>
      <c r="F324" s="232"/>
      <c r="G324" s="135"/>
      <c r="H324" s="232"/>
      <c r="I324" s="232"/>
      <c r="J324" s="233"/>
      <c r="K324" s="135" t="e">
        <f>+K323/#REF!</f>
        <v>#REF!</v>
      </c>
      <c r="L324" s="444"/>
      <c r="M324" s="445"/>
      <c r="N324" s="135">
        <f>+N323/G323</f>
        <v>1.5052539241133942</v>
      </c>
    </row>
    <row r="327" spans="3:15">
      <c r="C327" s="245" t="s">
        <v>7</v>
      </c>
      <c r="D327" s="241">
        <f>'R6'!E40</f>
        <v>22606</v>
      </c>
      <c r="E327" s="446" t="s">
        <v>136</v>
      </c>
      <c r="F327" s="446"/>
      <c r="G327" s="446"/>
      <c r="H327" s="411"/>
      <c r="I327" s="411"/>
      <c r="J327" s="411"/>
      <c r="K327" s="411"/>
      <c r="L327" s="447" t="s">
        <v>142</v>
      </c>
      <c r="M327" s="448"/>
      <c r="N327" s="449"/>
    </row>
    <row r="328" spans="3:15">
      <c r="C328" s="103" t="s">
        <v>9</v>
      </c>
      <c r="D328" s="247">
        <f>'R6'!E41</f>
        <v>442.3874755381604</v>
      </c>
      <c r="E328" s="446"/>
      <c r="F328" s="446"/>
      <c r="G328" s="446"/>
      <c r="H328" s="411"/>
      <c r="I328" s="411"/>
      <c r="J328" s="411"/>
      <c r="K328" s="411"/>
      <c r="L328" s="450"/>
      <c r="M328" s="451"/>
      <c r="N328" s="452"/>
    </row>
    <row r="329" spans="3:15" ht="45">
      <c r="C329" s="103"/>
      <c r="D329" s="247"/>
      <c r="E329" s="389" t="s">
        <v>60</v>
      </c>
      <c r="F329" s="390" t="s">
        <v>61</v>
      </c>
      <c r="G329" s="389" t="s">
        <v>62</v>
      </c>
      <c r="H329" s="391" t="s">
        <v>4</v>
      </c>
      <c r="I329" s="391" t="s">
        <v>5</v>
      </c>
      <c r="J329" s="392" t="s">
        <v>2</v>
      </c>
      <c r="K329" s="393" t="s">
        <v>6</v>
      </c>
      <c r="L329" s="389" t="s">
        <v>60</v>
      </c>
      <c r="M329" s="390" t="s">
        <v>61</v>
      </c>
      <c r="N329" s="389" t="s">
        <v>62</v>
      </c>
    </row>
    <row r="330" spans="3:15">
      <c r="C330" s="95" t="s">
        <v>10</v>
      </c>
      <c r="D330" s="96" t="s">
        <v>11</v>
      </c>
      <c r="E330" s="97">
        <f>'R6'!K42</f>
        <v>943.68000000000006</v>
      </c>
      <c r="F330" s="97"/>
      <c r="G330" s="97">
        <f>'R6'!M42</f>
        <v>943.68000000000006</v>
      </c>
      <c r="H330" s="136" t="e">
        <f>+'R1'!#REF!</f>
        <v>#REF!</v>
      </c>
      <c r="I330" s="119" t="e">
        <f>+'R1'!#REF!</f>
        <v>#REF!</v>
      </c>
      <c r="J330" s="99" t="e">
        <f>+'R1'!#REF!</f>
        <v>#REF!</v>
      </c>
      <c r="K330" s="99" t="e">
        <f>SUM(I330:J330)</f>
        <v>#REF!</v>
      </c>
      <c r="L330" s="380">
        <f>'R6'!AI42</f>
        <v>349.20000000000005</v>
      </c>
      <c r="M330" s="380">
        <f>'R6'!AJ42</f>
        <v>0</v>
      </c>
      <c r="N330" s="383">
        <f>'R6'!AK42</f>
        <v>349.20000000000005</v>
      </c>
      <c r="O330" s="236"/>
    </row>
    <row r="331" spans="3:15">
      <c r="C331" s="95" t="s">
        <v>95</v>
      </c>
      <c r="D331" s="96" t="s">
        <v>11</v>
      </c>
      <c r="E331" s="97"/>
      <c r="F331" s="97"/>
      <c r="G331" s="97"/>
      <c r="H331" s="136"/>
      <c r="I331" s="119"/>
      <c r="J331" s="99"/>
      <c r="K331" s="99"/>
      <c r="L331" s="98"/>
      <c r="M331" s="98"/>
      <c r="N331" s="98"/>
    </row>
    <row r="332" spans="3:15">
      <c r="C332" s="95" t="s">
        <v>138</v>
      </c>
      <c r="D332" s="96" t="s">
        <v>11</v>
      </c>
      <c r="E332" s="363">
        <f>'R6'!K44</f>
        <v>1574.6439316093561</v>
      </c>
      <c r="F332" s="363">
        <f>'R6'!L44</f>
        <v>175.42019939064372</v>
      </c>
      <c r="G332" s="363">
        <f>'R6'!M44</f>
        <v>1750.0641309999999</v>
      </c>
      <c r="H332" s="101"/>
      <c r="I332" s="101"/>
      <c r="J332" s="99" t="e">
        <f>+'R1'!#REF!</f>
        <v>#REF!</v>
      </c>
      <c r="K332" s="99" t="e">
        <f t="shared" ref="K332:K335" si="20">SUM(I332:J332)</f>
        <v>#REF!</v>
      </c>
      <c r="L332" s="98">
        <f>'R6'!AI44</f>
        <v>1661.1620288653723</v>
      </c>
      <c r="M332" s="98">
        <f>'R6'!AJ44</f>
        <v>114.64301954011847</v>
      </c>
      <c r="N332" s="98">
        <f>'R6'!AK44</f>
        <v>1775.8050484054909</v>
      </c>
    </row>
    <row r="333" spans="3:15">
      <c r="C333" s="95" t="s">
        <v>13</v>
      </c>
      <c r="D333" s="96" t="s">
        <v>11</v>
      </c>
      <c r="E333" s="363">
        <f>'R6'!K45</f>
        <v>130.83575091580732</v>
      </c>
      <c r="F333" s="363">
        <f>'R6'!L45</f>
        <v>218.22349508419268</v>
      </c>
      <c r="G333" s="363">
        <f>'R6'!M45</f>
        <v>349.05924600000003</v>
      </c>
      <c r="H333" s="101"/>
      <c r="I333" s="101"/>
      <c r="J333" s="99" t="e">
        <f>+'R1'!#REF!</f>
        <v>#REF!</v>
      </c>
      <c r="K333" s="99" t="e">
        <f t="shared" si="20"/>
        <v>#REF!</v>
      </c>
      <c r="L333" s="98">
        <f>'R6'!AI45</f>
        <v>0</v>
      </c>
      <c r="M333" s="98">
        <f>'R6'!AJ45</f>
        <v>0</v>
      </c>
      <c r="N333" s="98">
        <f>'R6'!AK45</f>
        <v>0</v>
      </c>
    </row>
    <row r="334" spans="3:15">
      <c r="C334" s="95" t="s">
        <v>14</v>
      </c>
      <c r="D334" s="96" t="s">
        <v>11</v>
      </c>
      <c r="E334" s="363">
        <f>'R6'!K46</f>
        <v>17.472410746261101</v>
      </c>
      <c r="F334" s="363">
        <f>'R6'!L46</f>
        <v>1085.8360252537389</v>
      </c>
      <c r="G334" s="363">
        <f>'R6'!M46</f>
        <v>1103.308436</v>
      </c>
      <c r="H334" s="101"/>
      <c r="I334" s="101"/>
      <c r="J334" s="99" t="e">
        <f>+'R1'!#REF!</f>
        <v>#REF!</v>
      </c>
      <c r="K334" s="99" t="e">
        <f t="shared" si="20"/>
        <v>#REF!</v>
      </c>
      <c r="L334" s="98">
        <f>'R6'!AI46</f>
        <v>-18.544167482285076</v>
      </c>
      <c r="M334" s="98">
        <f>'R6'!AJ46</f>
        <v>375.96552479124972</v>
      </c>
      <c r="N334" s="98">
        <f>'R6'!AK46</f>
        <v>357.42135730896462</v>
      </c>
    </row>
    <row r="335" spans="3:15">
      <c r="C335" s="95" t="s">
        <v>15</v>
      </c>
      <c r="D335" s="96" t="s">
        <v>11</v>
      </c>
      <c r="E335" s="363">
        <f>'R6'!K47</f>
        <v>24.474277911626864</v>
      </c>
      <c r="F335" s="363">
        <f>'R6'!L47</f>
        <v>2350.6251120883735</v>
      </c>
      <c r="G335" s="363">
        <f>'R6'!M47</f>
        <v>2375.0993900000003</v>
      </c>
      <c r="H335" s="100" t="e">
        <f>+I335/$D$75</f>
        <v>#REF!</v>
      </c>
      <c r="I335" s="99" t="e">
        <f>+'R1'!#REF!</f>
        <v>#REF!</v>
      </c>
      <c r="J335" s="99" t="e">
        <f>+'R1'!#REF!</f>
        <v>#REF!</v>
      </c>
      <c r="K335" s="99" t="e">
        <f t="shared" si="20"/>
        <v>#REF!</v>
      </c>
      <c r="L335" s="98">
        <f>'R6'!AI47</f>
        <v>31.756162831167586</v>
      </c>
      <c r="M335" s="98">
        <f>'R6'!AJ47</f>
        <v>3223.9276910748677</v>
      </c>
      <c r="N335" s="98">
        <f>'R6'!AK47</f>
        <v>3255.6838539060354</v>
      </c>
    </row>
    <row r="336" spans="3:15">
      <c r="C336" s="103" t="s">
        <v>16</v>
      </c>
      <c r="D336" s="96" t="s">
        <v>11</v>
      </c>
      <c r="E336" s="376">
        <f>'R6'!K48</f>
        <v>2691.1063711830511</v>
      </c>
      <c r="F336" s="376">
        <f>'R6'!L48</f>
        <v>3830.1048318169487</v>
      </c>
      <c r="G336" s="376">
        <f>'R6'!M48</f>
        <v>6521.2112030000008</v>
      </c>
      <c r="H336" s="101"/>
      <c r="I336" s="104" t="e">
        <f>SUM(I330:I335)</f>
        <v>#REF!</v>
      </c>
      <c r="J336" s="104" t="e">
        <f>SUM(J330:J335)</f>
        <v>#REF!</v>
      </c>
      <c r="K336" s="104" t="e">
        <f>SUM(K330:K335)</f>
        <v>#REF!</v>
      </c>
      <c r="L336" s="104">
        <f>'R6'!AI48</f>
        <v>2023.5740242142549</v>
      </c>
      <c r="M336" s="104">
        <f>'R6'!AJ48</f>
        <v>3714.5362354062358</v>
      </c>
      <c r="N336" s="104">
        <f>'R6'!AK48</f>
        <v>5738.110259620491</v>
      </c>
    </row>
    <row r="337" spans="3:14">
      <c r="C337" s="103" t="s">
        <v>24</v>
      </c>
      <c r="D337" s="231"/>
      <c r="E337" s="232"/>
      <c r="F337" s="232"/>
      <c r="G337" s="135"/>
      <c r="H337" s="232"/>
      <c r="I337" s="232"/>
      <c r="J337" s="233"/>
      <c r="K337" s="135" t="e">
        <f>+K336/#REF!</f>
        <v>#REF!</v>
      </c>
      <c r="L337" s="444"/>
      <c r="M337" s="445"/>
      <c r="N337" s="135">
        <f>+N336/G336</f>
        <v>0.87991480125359933</v>
      </c>
    </row>
  </sheetData>
  <mergeCells count="82">
    <mergeCell ref="E275:G276"/>
    <mergeCell ref="L275:N276"/>
    <mergeCell ref="E288:G289"/>
    <mergeCell ref="L288:N289"/>
    <mergeCell ref="E301:G302"/>
    <mergeCell ref="L301:N302"/>
    <mergeCell ref="L285:M285"/>
    <mergeCell ref="L298:M298"/>
    <mergeCell ref="E248:G249"/>
    <mergeCell ref="L248:N249"/>
    <mergeCell ref="E262:G263"/>
    <mergeCell ref="L262:N263"/>
    <mergeCell ref="L258:M258"/>
    <mergeCell ref="E116:G117"/>
    <mergeCell ref="L116:N117"/>
    <mergeCell ref="E135:G136"/>
    <mergeCell ref="L135:N136"/>
    <mergeCell ref="E148:G149"/>
    <mergeCell ref="L148:N149"/>
    <mergeCell ref="L126:M126"/>
    <mergeCell ref="E133:G133"/>
    <mergeCell ref="E75:G76"/>
    <mergeCell ref="L75:N76"/>
    <mergeCell ref="E90:G91"/>
    <mergeCell ref="L90:N91"/>
    <mergeCell ref="E103:G104"/>
    <mergeCell ref="L103:N104"/>
    <mergeCell ref="L85:M85"/>
    <mergeCell ref="L245:M245"/>
    <mergeCell ref="E220:G220"/>
    <mergeCell ref="L220:N220"/>
    <mergeCell ref="L200:M200"/>
    <mergeCell ref="L213:M213"/>
    <mergeCell ref="E203:G204"/>
    <mergeCell ref="L203:N204"/>
    <mergeCell ref="E222:G223"/>
    <mergeCell ref="L222:N223"/>
    <mergeCell ref="E235:G236"/>
    <mergeCell ref="L235:N236"/>
    <mergeCell ref="E161:G162"/>
    <mergeCell ref="L161:N162"/>
    <mergeCell ref="E177:G178"/>
    <mergeCell ref="L177:N178"/>
    <mergeCell ref="L232:M232"/>
    <mergeCell ref="L190:N191"/>
    <mergeCell ref="L62:N63"/>
    <mergeCell ref="L187:M187"/>
    <mergeCell ref="L145:M145"/>
    <mergeCell ref="L133:N133"/>
    <mergeCell ref="L158:M158"/>
    <mergeCell ref="L171:M171"/>
    <mergeCell ref="E18:G19"/>
    <mergeCell ref="L18:N19"/>
    <mergeCell ref="L4:N4"/>
    <mergeCell ref="L15:M15"/>
    <mergeCell ref="E4:G4"/>
    <mergeCell ref="H4:K4"/>
    <mergeCell ref="E5:G6"/>
    <mergeCell ref="L5:N6"/>
    <mergeCell ref="L272:M272"/>
    <mergeCell ref="E190:G191"/>
    <mergeCell ref="L28:M28"/>
    <mergeCell ref="E31:G32"/>
    <mergeCell ref="L31:N32"/>
    <mergeCell ref="E47:G47"/>
    <mergeCell ref="H47:K47"/>
    <mergeCell ref="L113:M113"/>
    <mergeCell ref="L100:M100"/>
    <mergeCell ref="E49:G50"/>
    <mergeCell ref="E62:G63"/>
    <mergeCell ref="L41:M41"/>
    <mergeCell ref="L59:M59"/>
    <mergeCell ref="L72:M72"/>
    <mergeCell ref="L47:N47"/>
    <mergeCell ref="L49:N50"/>
    <mergeCell ref="L337:M337"/>
    <mergeCell ref="L311:M311"/>
    <mergeCell ref="E314:G315"/>
    <mergeCell ref="L314:N315"/>
    <mergeCell ref="E327:G328"/>
    <mergeCell ref="L327:N328"/>
    <mergeCell ref="L324:M3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33B9-F675-469E-9565-81AA22992042}">
  <sheetPr codeName="Sheet13">
    <tabColor rgb="FFFF0000"/>
  </sheetPr>
  <dimension ref="C3:AD390"/>
  <sheetViews>
    <sheetView zoomScale="130" zoomScaleNormal="130" workbookViewId="0">
      <selection activeCell="E18" sqref="E18:G19"/>
    </sheetView>
  </sheetViews>
  <sheetFormatPr defaultColWidth="8.85546875" defaultRowHeight="15"/>
  <cols>
    <col min="1" max="2" width="3.42578125" style="83" customWidth="1"/>
    <col min="3" max="3" width="19.7109375" style="83" customWidth="1"/>
    <col min="4" max="4" width="10.140625" style="83" bestFit="1" customWidth="1"/>
    <col min="5" max="7" width="11.28515625" style="83" bestFit="1" customWidth="1"/>
    <col min="8" max="8" width="0" style="83" hidden="1" customWidth="1"/>
    <col min="9" max="9" width="11" style="83" hidden="1" customWidth="1"/>
    <col min="10" max="10" width="10.42578125" style="83" hidden="1" customWidth="1"/>
    <col min="11" max="11" width="10.28515625" style="83" hidden="1" customWidth="1"/>
    <col min="12" max="14" width="11.28515625" style="83" bestFit="1" customWidth="1"/>
    <col min="15" max="15" width="5" style="83" customWidth="1"/>
    <col min="16" max="17" width="9.42578125" style="83" bestFit="1" customWidth="1"/>
    <col min="18" max="19" width="8.85546875" style="83"/>
    <col min="20" max="20" width="4.7109375" style="83" customWidth="1"/>
    <col min="21" max="21" width="12.28515625" style="83" bestFit="1" customWidth="1"/>
    <col min="22" max="22" width="3.28515625" style="83" customWidth="1"/>
    <col min="23" max="23" width="8.85546875" style="83"/>
    <col min="24" max="27" width="11.28515625" style="83" customWidth="1"/>
    <col min="28" max="29" width="8.85546875" style="83" customWidth="1"/>
    <col min="30" max="30" width="8.85546875" style="83"/>
    <col min="31" max="31" width="3.7109375" style="83" customWidth="1"/>
    <col min="32" max="16384" width="8.85546875" style="83"/>
  </cols>
  <sheetData>
    <row r="3" spans="3:21" ht="18.75">
      <c r="C3" s="107" t="s">
        <v>23</v>
      </c>
    </row>
    <row r="4" spans="3:21" ht="15.75">
      <c r="E4" s="454"/>
      <c r="F4" s="454"/>
      <c r="G4" s="454"/>
      <c r="H4" s="454"/>
      <c r="I4" s="454"/>
      <c r="J4" s="454"/>
      <c r="K4" s="454"/>
      <c r="L4" s="454"/>
      <c r="M4" s="454"/>
      <c r="N4" s="454"/>
    </row>
    <row r="5" spans="3:21" ht="15.75">
      <c r="C5" s="94" t="s">
        <v>0</v>
      </c>
      <c r="D5" s="84"/>
      <c r="E5" s="228"/>
      <c r="F5" s="229"/>
      <c r="G5" s="228"/>
      <c r="H5" s="86"/>
      <c r="I5" s="86"/>
      <c r="J5" s="84"/>
      <c r="K5" s="85"/>
      <c r="L5" s="228"/>
      <c r="M5" s="229"/>
      <c r="N5" s="228"/>
    </row>
    <row r="6" spans="3:21">
      <c r="C6" s="108" t="s">
        <v>63</v>
      </c>
      <c r="D6" s="241">
        <f>+'m2'!G35</f>
        <v>73000</v>
      </c>
      <c r="E6" s="446" t="s">
        <v>136</v>
      </c>
      <c r="F6" s="446"/>
      <c r="G6" s="446"/>
      <c r="L6" s="447" t="s">
        <v>137</v>
      </c>
      <c r="M6" s="448"/>
      <c r="N6" s="449"/>
      <c r="U6" s="251"/>
    </row>
    <row r="7" spans="3:21">
      <c r="C7" s="103" t="s">
        <v>64</v>
      </c>
      <c r="D7" s="242">
        <f>+'m2'!G36</f>
        <v>746.3250612876019</v>
      </c>
      <c r="E7" s="446"/>
      <c r="F7" s="446"/>
      <c r="G7" s="446"/>
      <c r="H7" s="236"/>
      <c r="K7" s="237"/>
      <c r="L7" s="450"/>
      <c r="M7" s="451"/>
      <c r="N7" s="452"/>
      <c r="U7" s="250"/>
    </row>
    <row r="8" spans="3:21" ht="32.25" customHeight="1">
      <c r="C8" s="103"/>
      <c r="D8" s="399"/>
      <c r="E8" s="389" t="s">
        <v>60</v>
      </c>
      <c r="F8" s="390" t="s">
        <v>61</v>
      </c>
      <c r="G8" s="389" t="s">
        <v>62</v>
      </c>
      <c r="H8" s="234" t="s">
        <v>4</v>
      </c>
      <c r="I8" s="234" t="s">
        <v>5</v>
      </c>
      <c r="J8" s="235" t="s">
        <v>2</v>
      </c>
      <c r="K8" s="388" t="s">
        <v>6</v>
      </c>
      <c r="L8" s="389" t="s">
        <v>60</v>
      </c>
      <c r="M8" s="390" t="s">
        <v>61</v>
      </c>
      <c r="N8" s="389" t="s">
        <v>62</v>
      </c>
    </row>
    <row r="9" spans="3:21">
      <c r="C9" s="95" t="s">
        <v>94</v>
      </c>
      <c r="D9" s="96" t="s">
        <v>11</v>
      </c>
      <c r="E9" s="400">
        <f>'m2'!L37</f>
        <v>943.80000000000007</v>
      </c>
      <c r="F9" s="400"/>
      <c r="G9" s="400">
        <f>'m2'!N37</f>
        <v>943.80000000000007</v>
      </c>
      <c r="H9" s="147" t="e">
        <f>+'m2'!#REF!</f>
        <v>#REF!</v>
      </c>
      <c r="I9" s="147" t="e">
        <f>+'m2'!#REF!</f>
        <v>#REF!</v>
      </c>
      <c r="J9" s="143" t="e">
        <f>+'m2'!#REF!</f>
        <v>#REF!</v>
      </c>
      <c r="K9" s="143" t="e">
        <f>SUM(I9:J9)</f>
        <v>#REF!</v>
      </c>
      <c r="L9" s="401">
        <f>'m2'!T37</f>
        <v>349.17132188263611</v>
      </c>
      <c r="M9" s="401"/>
      <c r="N9" s="401">
        <f>'m2'!V37</f>
        <v>349.17132188263611</v>
      </c>
    </row>
    <row r="10" spans="3:21">
      <c r="C10" s="95" t="s">
        <v>95</v>
      </c>
      <c r="D10" s="96" t="s">
        <v>11</v>
      </c>
      <c r="E10" s="124"/>
      <c r="F10" s="124"/>
      <c r="G10" s="124"/>
      <c r="H10" s="147"/>
      <c r="I10" s="147"/>
      <c r="J10" s="143"/>
      <c r="K10" s="122"/>
      <c r="L10" s="227">
        <f>'m2'!T38</f>
        <v>5597.3024422863973</v>
      </c>
      <c r="M10" s="227">
        <f>'m2'!U38</f>
        <v>91.572564674764237</v>
      </c>
      <c r="N10" s="227">
        <f>'m2'!V38</f>
        <v>5688.8750069611615</v>
      </c>
    </row>
    <row r="11" spans="3:21">
      <c r="C11" s="95" t="s">
        <v>138</v>
      </c>
      <c r="D11" s="96" t="s">
        <v>11</v>
      </c>
      <c r="E11" s="124">
        <f>'m2'!L39</f>
        <v>4116.2041479999998</v>
      </c>
      <c r="F11" s="124">
        <f>'m2'!M39</f>
        <v>62.414999999999999</v>
      </c>
      <c r="G11" s="124">
        <f>'m2'!N39</f>
        <v>4178.6191479999998</v>
      </c>
      <c r="H11" s="143"/>
      <c r="I11" s="143"/>
      <c r="J11" s="143" t="e">
        <f>+'m2'!#REF!</f>
        <v>#REF!</v>
      </c>
      <c r="K11" s="122" t="e">
        <f t="shared" ref="K11:K14" si="0">SUM(I11:J11)</f>
        <v>#REF!</v>
      </c>
      <c r="L11" s="378">
        <f>'m2'!T39</f>
        <v>0</v>
      </c>
      <c r="M11" s="227">
        <f>'m2'!U39</f>
        <v>282.4485864049301</v>
      </c>
      <c r="N11" s="227">
        <f>'m2'!V39</f>
        <v>282.4485864049301</v>
      </c>
    </row>
    <row r="12" spans="3:21">
      <c r="C12" s="95" t="s">
        <v>93</v>
      </c>
      <c r="D12" s="96" t="s">
        <v>11</v>
      </c>
      <c r="E12" s="124">
        <f>'m2'!L40</f>
        <v>616.70400000000006</v>
      </c>
      <c r="F12" s="124">
        <f>'m2'!M40</f>
        <v>23.432999999999996</v>
      </c>
      <c r="G12" s="124">
        <f>'m2'!N40</f>
        <v>640.13700000000006</v>
      </c>
      <c r="H12" s="143"/>
      <c r="I12" s="143"/>
      <c r="J12" s="143"/>
      <c r="K12" s="122"/>
      <c r="L12" s="227"/>
      <c r="M12" s="227"/>
      <c r="N12" s="227"/>
    </row>
    <row r="13" spans="3:21">
      <c r="C13" s="95" t="s">
        <v>14</v>
      </c>
      <c r="D13" s="96" t="s">
        <v>11</v>
      </c>
      <c r="E13" s="124"/>
      <c r="F13" s="124"/>
      <c r="G13" s="124"/>
      <c r="H13" s="143"/>
      <c r="I13" s="143"/>
      <c r="J13" s="143"/>
      <c r="K13" s="122"/>
      <c r="L13" s="227">
        <f>'m2'!T40</f>
        <v>-59.883403795753807</v>
      </c>
      <c r="M13" s="227">
        <f>'m2'!U40</f>
        <v>1214.0795943449186</v>
      </c>
      <c r="N13" s="227">
        <f>'m2'!V40</f>
        <v>1154.1961905491648</v>
      </c>
    </row>
    <row r="14" spans="3:21">
      <c r="C14" s="95" t="s">
        <v>98</v>
      </c>
      <c r="D14" s="96" t="s">
        <v>11</v>
      </c>
      <c r="E14" s="124">
        <f>'m2'!L41</f>
        <v>-55.406999999999996</v>
      </c>
      <c r="F14" s="124">
        <f>'m2'!M41</f>
        <v>11912.979976656034</v>
      </c>
      <c r="G14" s="124">
        <f>'m2'!N41</f>
        <v>11857.572976656034</v>
      </c>
      <c r="H14" s="125" t="e">
        <f>I14/$D$6</f>
        <v>#REF!</v>
      </c>
      <c r="I14" s="143" t="e">
        <f>+'m2'!#REF!</f>
        <v>#REF!</v>
      </c>
      <c r="J14" s="143" t="e">
        <f>+'m2'!#REF!</f>
        <v>#REF!</v>
      </c>
      <c r="K14" s="122" t="e">
        <f t="shared" si="0"/>
        <v>#REF!</v>
      </c>
      <c r="L14" s="227">
        <f>'m2'!T41</f>
        <v>102.54799109418887</v>
      </c>
      <c r="M14" s="227">
        <f>'m2'!U41</f>
        <v>10410.807814229202</v>
      </c>
      <c r="N14" s="227">
        <f>'m2'!V41</f>
        <v>10513.35580532339</v>
      </c>
    </row>
    <row r="15" spans="3:21">
      <c r="C15" s="103" t="s">
        <v>16</v>
      </c>
      <c r="D15" s="396" t="s">
        <v>11</v>
      </c>
      <c r="E15" s="397">
        <f>'m2'!L42</f>
        <v>5621.3011479999996</v>
      </c>
      <c r="F15" s="397">
        <f>'m2'!M42</f>
        <v>11998.827976656034</v>
      </c>
      <c r="G15" s="397">
        <f>'m2'!N42</f>
        <v>17620.129124656036</v>
      </c>
      <c r="H15" s="144"/>
      <c r="I15" s="144" t="e">
        <f>SUM(I9:I14)</f>
        <v>#REF!</v>
      </c>
      <c r="J15" s="144" t="e">
        <f>SUM(J9:J14)</f>
        <v>#REF!</v>
      </c>
      <c r="K15" s="145" t="e">
        <f>SUM(K9:K14)</f>
        <v>#REF!</v>
      </c>
      <c r="L15" s="249">
        <f>'m2'!T42</f>
        <v>5989.1383514674681</v>
      </c>
      <c r="M15" s="249">
        <f>'m2'!U42</f>
        <v>11998.908559653815</v>
      </c>
      <c r="N15" s="249">
        <f>'m2'!V42</f>
        <v>17988.046911121281</v>
      </c>
    </row>
    <row r="16" spans="3:21" ht="16.5" customHeight="1">
      <c r="C16" s="404" t="s">
        <v>24</v>
      </c>
      <c r="D16" s="405"/>
      <c r="E16" s="406"/>
      <c r="F16" s="406"/>
      <c r="G16" s="407"/>
      <c r="H16" s="406"/>
      <c r="I16" s="406"/>
      <c r="J16" s="408"/>
      <c r="K16" s="409" t="e">
        <f>+K15/#REF!</f>
        <v>#REF!</v>
      </c>
      <c r="L16" s="463"/>
      <c r="M16" s="463"/>
      <c r="N16" s="409">
        <f>+N15/$G15</f>
        <v>1.0208805386079953</v>
      </c>
    </row>
    <row r="17" spans="3:21" ht="15.75">
      <c r="C17" s="93" t="s">
        <v>17</v>
      </c>
      <c r="M17" s="410"/>
    </row>
    <row r="18" spans="3:21">
      <c r="C18" s="108" t="s">
        <v>63</v>
      </c>
      <c r="D18" s="241">
        <f>+'m2'!G23</f>
        <v>60000</v>
      </c>
      <c r="E18" s="446" t="s">
        <v>136</v>
      </c>
      <c r="F18" s="446"/>
      <c r="G18" s="446"/>
      <c r="H18" s="412"/>
      <c r="I18" s="412"/>
      <c r="J18" s="412"/>
      <c r="K18" s="412"/>
      <c r="L18" s="447" t="s">
        <v>137</v>
      </c>
      <c r="M18" s="448"/>
      <c r="N18" s="449"/>
    </row>
    <row r="19" spans="3:21">
      <c r="C19" s="103" t="s">
        <v>64</v>
      </c>
      <c r="D19" s="242">
        <f>+'m2'!G24</f>
        <v>613.41785859254946</v>
      </c>
      <c r="E19" s="446"/>
      <c r="F19" s="446"/>
      <c r="G19" s="446"/>
      <c r="H19" s="413"/>
      <c r="I19" s="230"/>
      <c r="J19" s="230"/>
      <c r="K19" s="414"/>
      <c r="L19" s="450"/>
      <c r="M19" s="451"/>
      <c r="N19" s="452"/>
      <c r="U19" s="250"/>
    </row>
    <row r="20" spans="3:21" ht="29.25" customHeight="1">
      <c r="C20" s="103"/>
      <c r="D20" s="242"/>
      <c r="E20" s="389" t="s">
        <v>60</v>
      </c>
      <c r="F20" s="390" t="s">
        <v>61</v>
      </c>
      <c r="G20" s="389" t="s">
        <v>62</v>
      </c>
      <c r="H20" s="234" t="s">
        <v>4</v>
      </c>
      <c r="I20" s="234" t="s">
        <v>5</v>
      </c>
      <c r="J20" s="235" t="s">
        <v>2</v>
      </c>
      <c r="K20" s="388" t="s">
        <v>6</v>
      </c>
      <c r="L20" s="389" t="s">
        <v>60</v>
      </c>
      <c r="M20" s="390" t="s">
        <v>61</v>
      </c>
      <c r="N20" s="389" t="s">
        <v>62</v>
      </c>
    </row>
    <row r="21" spans="3:21">
      <c r="C21" s="95" t="s">
        <v>94</v>
      </c>
      <c r="D21" s="96" t="s">
        <v>11</v>
      </c>
      <c r="E21" s="124">
        <f>'m2'!L25</f>
        <v>943.80000000000007</v>
      </c>
      <c r="F21" s="124"/>
      <c r="G21" s="124">
        <f>'m2'!N25</f>
        <v>943.80000000000007</v>
      </c>
      <c r="H21" s="147" t="e">
        <f>+'m2'!#REF!</f>
        <v>#REF!</v>
      </c>
      <c r="I21" s="147" t="e">
        <f>+'m2'!#REF!</f>
        <v>#REF!</v>
      </c>
      <c r="J21" s="143" t="e">
        <f>+'m2'!#REF!</f>
        <v>#REF!</v>
      </c>
      <c r="K21" s="143" t="e">
        <f>SUM(I21:J21)</f>
        <v>#REF!</v>
      </c>
      <c r="L21" s="227">
        <f>'m2'!T25</f>
        <v>349.17132188263611</v>
      </c>
      <c r="M21" s="227"/>
      <c r="N21" s="227">
        <f>'m2'!V25</f>
        <v>349.17132188263611</v>
      </c>
    </row>
    <row r="22" spans="3:21">
      <c r="C22" s="95" t="s">
        <v>95</v>
      </c>
      <c r="D22" s="96" t="s">
        <v>11</v>
      </c>
      <c r="E22" s="124"/>
      <c r="F22" s="124"/>
      <c r="G22" s="124"/>
      <c r="H22" s="147"/>
      <c r="I22" s="147"/>
      <c r="J22" s="143"/>
      <c r="K22" s="122"/>
      <c r="L22" s="227">
        <f>'m2'!T26</f>
        <v>4600.5225553038872</v>
      </c>
      <c r="M22" s="227">
        <f>'m2'!U26</f>
        <v>75.265121650491139</v>
      </c>
      <c r="N22" s="227">
        <f>'m2'!V26</f>
        <v>4675.7876769543782</v>
      </c>
    </row>
    <row r="23" spans="3:21">
      <c r="C23" s="95" t="s">
        <v>138</v>
      </c>
      <c r="D23" s="96" t="s">
        <v>11</v>
      </c>
      <c r="E23" s="124">
        <f>'m2'!L27</f>
        <v>3403.1245599999997</v>
      </c>
      <c r="F23" s="124">
        <f>'m2'!M27</f>
        <v>51.3</v>
      </c>
      <c r="G23" s="124">
        <f>'m2'!N27</f>
        <v>3454.4245599999999</v>
      </c>
      <c r="H23" s="143"/>
      <c r="I23" s="143"/>
      <c r="J23" s="143" t="e">
        <f>+'m2'!#REF!</f>
        <v>#REF!</v>
      </c>
      <c r="K23" s="122" t="e">
        <f t="shared" ref="K23:K26" si="1">SUM(I23:J23)</f>
        <v>#REF!</v>
      </c>
      <c r="L23" s="378">
        <f>'m2'!T27</f>
        <v>0</v>
      </c>
      <c r="M23" s="227">
        <f>'m2'!U27</f>
        <v>232.14952307254529</v>
      </c>
      <c r="N23" s="227">
        <f>'m2'!V27</f>
        <v>232.14952307254529</v>
      </c>
    </row>
    <row r="24" spans="3:21">
      <c r="C24" s="95" t="s">
        <v>93</v>
      </c>
      <c r="D24" s="96" t="s">
        <v>11</v>
      </c>
      <c r="E24" s="124">
        <f>'m2'!L28</f>
        <v>506.88000000000005</v>
      </c>
      <c r="F24" s="124">
        <f>'m2'!M28</f>
        <v>19.259999999999998</v>
      </c>
      <c r="G24" s="124">
        <f>'m2'!N28</f>
        <v>526.1400000000001</v>
      </c>
      <c r="H24" s="143"/>
      <c r="I24" s="143"/>
      <c r="J24" s="143"/>
      <c r="K24" s="122"/>
      <c r="L24" s="227"/>
      <c r="M24" s="227"/>
      <c r="N24" s="227"/>
    </row>
    <row r="25" spans="3:21">
      <c r="C25" s="95" t="s">
        <v>14</v>
      </c>
      <c r="D25" s="96" t="s">
        <v>11</v>
      </c>
      <c r="E25" s="124"/>
      <c r="F25" s="124"/>
      <c r="G25" s="124"/>
      <c r="H25" s="143"/>
      <c r="I25" s="143"/>
      <c r="J25" s="143"/>
      <c r="K25" s="122"/>
      <c r="L25" s="227">
        <f>'m2'!T28</f>
        <v>-49.21923599650998</v>
      </c>
      <c r="M25" s="227">
        <f>'m2'!U28</f>
        <v>997.87363918760434</v>
      </c>
      <c r="N25" s="227">
        <f>'m2'!V28</f>
        <v>948.65440319109439</v>
      </c>
    </row>
    <row r="26" spans="3:21">
      <c r="C26" s="95" t="s">
        <v>98</v>
      </c>
      <c r="D26" s="96" t="s">
        <v>11</v>
      </c>
      <c r="E26" s="124">
        <f>'m2'!L29</f>
        <v>-45.539999999999992</v>
      </c>
      <c r="F26" s="124">
        <f>'m2'!M29</f>
        <v>9791.4903917720821</v>
      </c>
      <c r="G26" s="124">
        <f>'m2'!N29</f>
        <v>9745.9503917720813</v>
      </c>
      <c r="H26" s="125" t="e">
        <f>I26/$D$18</f>
        <v>#REF!</v>
      </c>
      <c r="I26" s="143" t="e">
        <f>+'m2'!#REF!</f>
        <v>#REF!</v>
      </c>
      <c r="J26" s="143" t="e">
        <f>+'m2'!#REF!</f>
        <v>#REF!</v>
      </c>
      <c r="K26" s="122" t="e">
        <f t="shared" si="1"/>
        <v>#REF!</v>
      </c>
      <c r="L26" s="227">
        <f>'m2'!T29</f>
        <v>84.286020077415515</v>
      </c>
      <c r="M26" s="227">
        <f>'m2'!U29</f>
        <v>8556.828340462358</v>
      </c>
      <c r="N26" s="227">
        <f>'m2'!V29</f>
        <v>8641.1143605397738</v>
      </c>
    </row>
    <row r="27" spans="3:21">
      <c r="C27" s="103" t="s">
        <v>16</v>
      </c>
      <c r="D27" s="123" t="s">
        <v>11</v>
      </c>
      <c r="E27" s="397">
        <f>'m2'!L30</f>
        <v>4808.2645599999996</v>
      </c>
      <c r="F27" s="397">
        <f>'m2'!M30</f>
        <v>9862.0503917720816</v>
      </c>
      <c r="G27" s="397">
        <f>'m2'!N30</f>
        <v>14670.314951772081</v>
      </c>
      <c r="H27" s="144"/>
      <c r="I27" s="144" t="e">
        <f>SUM(I21:I26)</f>
        <v>#REF!</v>
      </c>
      <c r="J27" s="144" t="e">
        <f>SUM(J21:J26)</f>
        <v>#REF!</v>
      </c>
      <c r="K27" s="145" t="e">
        <f>SUM(K21:K26)</f>
        <v>#REF!</v>
      </c>
      <c r="L27" s="144">
        <f>'m2'!T30</f>
        <v>4984.760661267429</v>
      </c>
      <c r="M27" s="144">
        <f>'m2'!U30</f>
        <v>9862.1166243729986</v>
      </c>
      <c r="N27" s="144">
        <f>'m2'!V30</f>
        <v>14846.877285640428</v>
      </c>
    </row>
    <row r="28" spans="3:21">
      <c r="C28" s="103" t="s">
        <v>24</v>
      </c>
      <c r="D28" s="231"/>
      <c r="E28" s="231"/>
      <c r="F28" s="232"/>
      <c r="G28" s="398"/>
      <c r="H28" s="232"/>
      <c r="I28" s="232"/>
      <c r="J28" s="233"/>
      <c r="K28" s="135" t="e">
        <f>+K27/#REF!</f>
        <v>#REF!</v>
      </c>
      <c r="L28" s="444"/>
      <c r="M28" s="445"/>
      <c r="N28" s="135">
        <f>+N27/$G27</f>
        <v>1.0120353471925305</v>
      </c>
    </row>
    <row r="29" spans="3:21" ht="15.75">
      <c r="C29" s="93" t="s">
        <v>18</v>
      </c>
    </row>
    <row r="30" spans="3:21">
      <c r="C30" s="108" t="s">
        <v>63</v>
      </c>
      <c r="D30" s="241">
        <f>+'m2'!G47</f>
        <v>250000</v>
      </c>
      <c r="E30" s="446" t="s">
        <v>136</v>
      </c>
      <c r="F30" s="446"/>
      <c r="G30" s="446"/>
      <c r="L30" s="447" t="s">
        <v>137</v>
      </c>
      <c r="M30" s="448"/>
      <c r="N30" s="449"/>
      <c r="U30" s="251"/>
    </row>
    <row r="31" spans="3:21">
      <c r="C31" s="103" t="s">
        <v>64</v>
      </c>
      <c r="D31" s="242">
        <f>+'m2'!G48</f>
        <v>2555.907744135623</v>
      </c>
      <c r="E31" s="446"/>
      <c r="F31" s="446"/>
      <c r="G31" s="446"/>
      <c r="H31" s="236"/>
      <c r="K31" s="237"/>
      <c r="L31" s="450"/>
      <c r="M31" s="451"/>
      <c r="N31" s="452"/>
      <c r="U31" s="250"/>
    </row>
    <row r="32" spans="3:21" ht="27" customHeight="1">
      <c r="C32" s="103"/>
      <c r="D32" s="242"/>
      <c r="E32" s="389" t="s">
        <v>60</v>
      </c>
      <c r="F32" s="390" t="s">
        <v>61</v>
      </c>
      <c r="G32" s="389" t="s">
        <v>62</v>
      </c>
      <c r="H32" s="234" t="s">
        <v>4</v>
      </c>
      <c r="I32" s="234" t="s">
        <v>5</v>
      </c>
      <c r="J32" s="235" t="s">
        <v>2</v>
      </c>
      <c r="K32" s="388" t="s">
        <v>6</v>
      </c>
      <c r="L32" s="389" t="s">
        <v>60</v>
      </c>
      <c r="M32" s="390" t="s">
        <v>61</v>
      </c>
      <c r="N32" s="389" t="s">
        <v>62</v>
      </c>
    </row>
    <row r="33" spans="3:15">
      <c r="C33" s="95" t="s">
        <v>94</v>
      </c>
      <c r="D33" s="96" t="s">
        <v>11</v>
      </c>
      <c r="E33" s="124">
        <f>'m2'!L49</f>
        <v>943.80000000000007</v>
      </c>
      <c r="F33" s="124"/>
      <c r="G33" s="124">
        <f>'m2'!N49</f>
        <v>943.80000000000007</v>
      </c>
      <c r="H33" s="147" t="e">
        <f>+'m2'!#REF!</f>
        <v>#REF!</v>
      </c>
      <c r="I33" s="147" t="e">
        <f>+'m2'!#REF!</f>
        <v>#REF!</v>
      </c>
      <c r="J33" s="143" t="e">
        <f>+'m2'!#REF!</f>
        <v>#REF!</v>
      </c>
      <c r="K33" s="143" t="e">
        <f>SUM(I33:J33)</f>
        <v>#REF!</v>
      </c>
      <c r="L33" s="227">
        <f>'m2'!T49</f>
        <v>349.17132188263611</v>
      </c>
      <c r="M33" s="227"/>
      <c r="N33" s="227">
        <f>'m2'!V49</f>
        <v>349.17132188263611</v>
      </c>
    </row>
    <row r="34" spans="3:15">
      <c r="C34" s="95" t="s">
        <v>95</v>
      </c>
      <c r="D34" s="96" t="s">
        <v>11</v>
      </c>
      <c r="E34" s="124"/>
      <c r="F34" s="124"/>
      <c r="G34" s="124"/>
      <c r="H34" s="147"/>
      <c r="I34" s="147"/>
      <c r="J34" s="143"/>
      <c r="K34" s="122"/>
      <c r="L34" s="227">
        <f>'m2'!T50</f>
        <v>19168.84398043287</v>
      </c>
      <c r="M34" s="227">
        <f>'m2'!U50</f>
        <v>313.60467354371309</v>
      </c>
      <c r="N34" s="227">
        <f>'m2'!V50</f>
        <v>19482.448653976582</v>
      </c>
    </row>
    <row r="35" spans="3:15">
      <c r="C35" s="95" t="s">
        <v>138</v>
      </c>
      <c r="D35" s="96" t="s">
        <v>11</v>
      </c>
      <c r="E35" s="124">
        <f>'m2'!L51</f>
        <v>13376.153999999999</v>
      </c>
      <c r="F35" s="124">
        <f>'m2'!M51</f>
        <v>213.75</v>
      </c>
      <c r="G35" s="124">
        <f>'m2'!N51</f>
        <v>13589.903999999999</v>
      </c>
      <c r="H35" s="143"/>
      <c r="I35" s="143"/>
      <c r="J35" s="143" t="e">
        <f>+'m2'!#REF!</f>
        <v>#REF!</v>
      </c>
      <c r="K35" s="122" t="e">
        <f t="shared" ref="K35:K38" si="2">SUM(I35:J35)</f>
        <v>#REF!</v>
      </c>
      <c r="L35" s="378">
        <f>'m2'!T51</f>
        <v>0</v>
      </c>
      <c r="M35" s="227">
        <f>'m2'!U51</f>
        <v>967.28967946893863</v>
      </c>
      <c r="N35" s="227">
        <f>'m2'!V51</f>
        <v>967.28967946893863</v>
      </c>
    </row>
    <row r="36" spans="3:15">
      <c r="C36" s="95" t="s">
        <v>93</v>
      </c>
      <c r="D36" s="96" t="s">
        <v>11</v>
      </c>
      <c r="E36" s="124">
        <f>'m2'!L52</f>
        <v>2112</v>
      </c>
      <c r="F36" s="124">
        <f>'m2'!M52</f>
        <v>80.249999999999986</v>
      </c>
      <c r="G36" s="124">
        <f>'m2'!N52</f>
        <v>2192.25</v>
      </c>
      <c r="H36" s="143"/>
      <c r="I36" s="143"/>
      <c r="J36" s="143"/>
      <c r="K36" s="122"/>
      <c r="L36" s="227"/>
      <c r="M36" s="227"/>
      <c r="N36" s="227"/>
    </row>
    <row r="37" spans="3:15">
      <c r="C37" s="95" t="s">
        <v>14</v>
      </c>
      <c r="D37" s="96" t="s">
        <v>11</v>
      </c>
      <c r="E37" s="124"/>
      <c r="F37" s="124"/>
      <c r="G37" s="124"/>
      <c r="H37" s="143"/>
      <c r="I37" s="143"/>
      <c r="J37" s="143"/>
      <c r="K37" s="122"/>
      <c r="L37" s="227">
        <f>'m2'!T52</f>
        <v>-205.08014998545826</v>
      </c>
      <c r="M37" s="227">
        <f>'m2'!U52</f>
        <v>4157.8068299483512</v>
      </c>
      <c r="N37" s="227">
        <f>'m2'!V52</f>
        <v>3952.7266799628928</v>
      </c>
    </row>
    <row r="38" spans="3:15">
      <c r="C38" s="95" t="s">
        <v>98</v>
      </c>
      <c r="D38" s="96" t="s">
        <v>11</v>
      </c>
      <c r="E38" s="124">
        <f>'m2'!L53</f>
        <v>-189.74999999999997</v>
      </c>
      <c r="F38" s="124">
        <f>'m2'!M53</f>
        <v>40797.876632383675</v>
      </c>
      <c r="G38" s="124">
        <f>'m2'!N53</f>
        <v>40608.126632383675</v>
      </c>
      <c r="H38" s="125" t="e">
        <f>I38/$D$30</f>
        <v>#REF!</v>
      </c>
      <c r="I38" s="143" t="e">
        <f>+'m2'!#REF!</f>
        <v>#REF!</v>
      </c>
      <c r="J38" s="143" t="e">
        <f>+'m2'!#REF!</f>
        <v>#REF!</v>
      </c>
      <c r="K38" s="122" t="e">
        <f t="shared" si="2"/>
        <v>#REF!</v>
      </c>
      <c r="L38" s="227">
        <f>'m2'!T53</f>
        <v>351.19175032256464</v>
      </c>
      <c r="M38" s="227">
        <f>'m2'!U53</f>
        <v>35653.451418593155</v>
      </c>
      <c r="N38" s="227">
        <f>'m2'!V53</f>
        <v>36004.643168915718</v>
      </c>
    </row>
    <row r="39" spans="3:15">
      <c r="C39" s="103" t="s">
        <v>16</v>
      </c>
      <c r="D39" s="396" t="s">
        <v>11</v>
      </c>
      <c r="E39" s="397">
        <f>'m2'!L54</f>
        <v>16242.203999999998</v>
      </c>
      <c r="F39" s="397">
        <f>'m2'!M54</f>
        <v>41091.876632383675</v>
      </c>
      <c r="G39" s="397">
        <f>'m2'!N54</f>
        <v>57334.080632383673</v>
      </c>
      <c r="H39" s="144"/>
      <c r="I39" s="144" t="e">
        <f>SUM(I33:I38)</f>
        <v>#REF!</v>
      </c>
      <c r="J39" s="144" t="e">
        <f>SUM(J33:J38)</f>
        <v>#REF!</v>
      </c>
      <c r="K39" s="145" t="e">
        <f>SUM(K33:K38)</f>
        <v>#REF!</v>
      </c>
      <c r="L39" s="144">
        <f>'m2'!T54</f>
        <v>19664.126902652613</v>
      </c>
      <c r="M39" s="144">
        <f>'m2'!U54</f>
        <v>41092.15260155416</v>
      </c>
      <c r="N39" s="144">
        <f>'m2'!V54</f>
        <v>60756.279504206766</v>
      </c>
    </row>
    <row r="40" spans="3:15">
      <c r="C40" s="395" t="s">
        <v>24</v>
      </c>
      <c r="D40" s="231"/>
      <c r="E40" s="232"/>
      <c r="F40" s="232"/>
      <c r="G40" s="398"/>
      <c r="H40" s="232"/>
      <c r="I40" s="232"/>
      <c r="J40" s="233"/>
      <c r="K40" s="135" t="e">
        <f>+K39/#REF!</f>
        <v>#REF!</v>
      </c>
      <c r="L40" s="444"/>
      <c r="M40" s="445"/>
      <c r="N40" s="135">
        <f>+N39/$G39</f>
        <v>1.0596887372061592</v>
      </c>
    </row>
    <row r="44" spans="3:15" hidden="1"/>
    <row r="45" spans="3:15" ht="18.75" hidden="1">
      <c r="C45" s="107" t="s">
        <v>25</v>
      </c>
    </row>
    <row r="46" spans="3:15" hidden="1">
      <c r="E46" s="453"/>
      <c r="F46" s="453"/>
      <c r="G46" s="453"/>
      <c r="L46" s="453"/>
      <c r="M46" s="453"/>
      <c r="N46" s="453"/>
    </row>
    <row r="47" spans="3:15" ht="47.25" hidden="1">
      <c r="C47" s="106" t="s">
        <v>20</v>
      </c>
      <c r="D47" s="84"/>
      <c r="E47" s="228" t="s">
        <v>60</v>
      </c>
      <c r="F47" s="229" t="s">
        <v>61</v>
      </c>
      <c r="G47" s="228" t="s">
        <v>62</v>
      </c>
      <c r="L47" s="228" t="s">
        <v>60</v>
      </c>
      <c r="M47" s="229" t="s">
        <v>61</v>
      </c>
      <c r="N47" s="228" t="s">
        <v>62</v>
      </c>
      <c r="O47" s="87" t="s">
        <v>24</v>
      </c>
    </row>
    <row r="48" spans="3:15" hidden="1">
      <c r="C48" s="88" t="s">
        <v>63</v>
      </c>
      <c r="D48" s="457" t="s">
        <v>8</v>
      </c>
      <c r="E48" s="90"/>
    </row>
    <row r="49" spans="3:15" hidden="1">
      <c r="C49" s="91" t="s">
        <v>64</v>
      </c>
      <c r="D49" s="458"/>
      <c r="E49" s="92"/>
    </row>
    <row r="50" spans="3:15" hidden="1">
      <c r="C50" s="95" t="s">
        <v>94</v>
      </c>
      <c r="D50" s="96" t="s">
        <v>11</v>
      </c>
      <c r="E50" s="98">
        <v>861</v>
      </c>
      <c r="F50" s="101">
        <v>0</v>
      </c>
      <c r="G50" s="101"/>
      <c r="L50" s="99" t="e">
        <f>+I9</f>
        <v>#REF!</v>
      </c>
      <c r="M50" s="99" t="e">
        <f>+J9</f>
        <v>#REF!</v>
      </c>
      <c r="N50" s="99" t="e">
        <f>+K9</f>
        <v>#REF!</v>
      </c>
    </row>
    <row r="51" spans="3:15" hidden="1">
      <c r="C51" s="95" t="s">
        <v>95</v>
      </c>
      <c r="D51" s="96" t="s">
        <v>11</v>
      </c>
      <c r="E51" s="98"/>
      <c r="F51" s="101"/>
      <c r="G51" s="101"/>
      <c r="L51" s="99"/>
      <c r="M51" s="99"/>
      <c r="N51" s="99"/>
    </row>
    <row r="52" spans="3:15" hidden="1">
      <c r="C52" s="95" t="s">
        <v>138</v>
      </c>
      <c r="D52" s="96" t="s">
        <v>11</v>
      </c>
      <c r="E52" s="98">
        <v>3514.613785</v>
      </c>
      <c r="F52" s="101">
        <v>0</v>
      </c>
      <c r="G52" s="101"/>
      <c r="L52" s="101"/>
      <c r="M52" s="99" t="e">
        <f>+J11</f>
        <v>#REF!</v>
      </c>
      <c r="N52" s="99" t="e">
        <f>+K11</f>
        <v>#REF!</v>
      </c>
    </row>
    <row r="53" spans="3:15" hidden="1">
      <c r="C53" s="95" t="s">
        <v>93</v>
      </c>
      <c r="D53" s="96" t="s">
        <v>11</v>
      </c>
      <c r="E53" s="98">
        <v>491.29000000000008</v>
      </c>
      <c r="F53" s="101">
        <v>0</v>
      </c>
      <c r="G53" s="101"/>
      <c r="L53" s="101"/>
      <c r="M53" s="99">
        <f>+J12</f>
        <v>0</v>
      </c>
      <c r="N53" s="99">
        <f>+K12</f>
        <v>0</v>
      </c>
    </row>
    <row r="54" spans="3:15" hidden="1">
      <c r="C54" s="95" t="s">
        <v>98</v>
      </c>
      <c r="D54" s="96" t="s">
        <v>11</v>
      </c>
      <c r="E54" s="98">
        <v>-65.772999999998916</v>
      </c>
      <c r="F54" s="99" t="e">
        <f>#REF!-E54</f>
        <v>#REF!</v>
      </c>
      <c r="G54" s="99"/>
      <c r="L54" s="99" t="e">
        <f>+I14</f>
        <v>#REF!</v>
      </c>
      <c r="M54" s="99" t="e">
        <f>+J14</f>
        <v>#REF!</v>
      </c>
      <c r="N54" s="99" t="e">
        <f>+K14</f>
        <v>#REF!</v>
      </c>
    </row>
    <row r="55" spans="3:15" ht="15.75" hidden="1" thickBot="1">
      <c r="C55" s="103" t="s">
        <v>16</v>
      </c>
      <c r="D55" s="123" t="s">
        <v>11</v>
      </c>
      <c r="E55" s="118">
        <f t="shared" ref="E55" si="3">SUM(E50:E54)</f>
        <v>4801.1307850000003</v>
      </c>
      <c r="F55" s="118" t="e">
        <f t="shared" ref="F55" si="4">SUM(F50:F54)</f>
        <v>#REF!</v>
      </c>
      <c r="G55" s="108"/>
      <c r="L55" s="118" t="e">
        <f t="shared" ref="L55" si="5">SUM(L50:L54)</f>
        <v>#REF!</v>
      </c>
      <c r="M55" s="118" t="e">
        <f t="shared" ref="M55" si="6">SUM(M50:M54)</f>
        <v>#REF!</v>
      </c>
      <c r="N55" s="120" t="e">
        <f>SUM(N50:N54)</f>
        <v>#REF!</v>
      </c>
      <c r="O55" s="121" t="e">
        <f>+N55/#REF!</f>
        <v>#REF!</v>
      </c>
    </row>
    <row r="56" spans="3:15" hidden="1"/>
    <row r="57" spans="3:15" ht="31.5" hidden="1">
      <c r="C57" s="106" t="s">
        <v>21</v>
      </c>
    </row>
    <row r="58" spans="3:15" hidden="1">
      <c r="C58" s="88" t="s">
        <v>63</v>
      </c>
      <c r="D58" s="457" t="s">
        <v>8</v>
      </c>
      <c r="E58" s="90"/>
    </row>
    <row r="59" spans="3:15" hidden="1">
      <c r="C59" s="91" t="s">
        <v>64</v>
      </c>
      <c r="D59" s="458"/>
      <c r="E59" s="92"/>
    </row>
    <row r="60" spans="3:15" hidden="1">
      <c r="C60" s="95" t="s">
        <v>94</v>
      </c>
      <c r="D60" s="96" t="s">
        <v>11</v>
      </c>
      <c r="E60" s="98">
        <v>861</v>
      </c>
      <c r="F60" s="101">
        <v>0</v>
      </c>
      <c r="G60" s="101"/>
      <c r="L60" s="99" t="e">
        <f>+'m2'!#REF!</f>
        <v>#REF!</v>
      </c>
      <c r="M60" s="99" t="e">
        <f>+'m2'!#REF!</f>
        <v>#REF!</v>
      </c>
      <c r="N60" s="99" t="e">
        <f>+'m2'!#REF!</f>
        <v>#REF!</v>
      </c>
    </row>
    <row r="61" spans="3:15" hidden="1">
      <c r="C61" s="95" t="s">
        <v>138</v>
      </c>
      <c r="D61" s="96" t="s">
        <v>11</v>
      </c>
      <c r="E61" s="98">
        <v>3514.613785</v>
      </c>
      <c r="F61" s="101">
        <v>0</v>
      </c>
      <c r="G61" s="101"/>
      <c r="L61" s="101"/>
      <c r="M61" s="99" t="e">
        <f>+'m2'!#REF!</f>
        <v>#REF!</v>
      </c>
      <c r="N61" s="99" t="e">
        <f>+'m2'!#REF!</f>
        <v>#REF!</v>
      </c>
    </row>
    <row r="62" spans="3:15" hidden="1">
      <c r="C62" s="95" t="s">
        <v>93</v>
      </c>
      <c r="D62" s="96" t="s">
        <v>11</v>
      </c>
      <c r="E62" s="98">
        <v>491.29000000000008</v>
      </c>
      <c r="F62" s="101">
        <v>0</v>
      </c>
      <c r="G62" s="101"/>
      <c r="L62" s="101"/>
      <c r="M62" s="99" t="e">
        <f>+'m2'!#REF!</f>
        <v>#REF!</v>
      </c>
      <c r="N62" s="99" t="e">
        <f>+'m2'!#REF!</f>
        <v>#REF!</v>
      </c>
    </row>
    <row r="63" spans="3:15" hidden="1">
      <c r="C63" s="95" t="s">
        <v>98</v>
      </c>
      <c r="D63" s="96" t="s">
        <v>11</v>
      </c>
      <c r="E63" s="98">
        <v>-65.772999999998916</v>
      </c>
      <c r="F63" s="99" t="e">
        <f>#REF!-E63</f>
        <v>#REF!</v>
      </c>
      <c r="G63" s="99"/>
      <c r="L63" s="99">
        <f>+E63</f>
        <v>-65.772999999998916</v>
      </c>
      <c r="M63" s="99" t="e">
        <f>+'m2'!#REF!</f>
        <v>#REF!</v>
      </c>
      <c r="N63" s="99" t="e">
        <f>+'m2'!#REF!</f>
        <v>#REF!</v>
      </c>
    </row>
    <row r="64" spans="3:15" ht="15.75" hidden="1" thickBot="1">
      <c r="C64" s="103" t="s">
        <v>16</v>
      </c>
      <c r="D64" s="123" t="s">
        <v>11</v>
      </c>
      <c r="E64" s="118">
        <f t="shared" ref="E64" si="7">SUM(E60:E63)</f>
        <v>4801.1307850000003</v>
      </c>
      <c r="F64" s="118" t="e">
        <f t="shared" ref="F64" si="8">SUM(F60:F63)</f>
        <v>#REF!</v>
      </c>
      <c r="G64" s="108"/>
      <c r="L64" s="118" t="e">
        <f t="shared" ref="L64" si="9">SUM(L60:L63)</f>
        <v>#REF!</v>
      </c>
      <c r="M64" s="118" t="e">
        <f t="shared" ref="M64" si="10">SUM(M60:M63)</f>
        <v>#REF!</v>
      </c>
      <c r="N64" s="120" t="e">
        <f>SUM(N60:N63)</f>
        <v>#REF!</v>
      </c>
      <c r="O64" s="121" t="e">
        <f>+N64/#REF!</f>
        <v>#REF!</v>
      </c>
    </row>
    <row r="65" spans="3:15" hidden="1"/>
    <row r="66" spans="3:15" hidden="1"/>
    <row r="67" spans="3:15" ht="31.5" hidden="1">
      <c r="C67" s="106" t="s">
        <v>22</v>
      </c>
    </row>
    <row r="68" spans="3:15" hidden="1">
      <c r="C68" s="88" t="s">
        <v>63</v>
      </c>
      <c r="D68" s="457" t="s">
        <v>8</v>
      </c>
      <c r="E68" s="90"/>
    </row>
    <row r="69" spans="3:15" hidden="1">
      <c r="C69" s="91" t="s">
        <v>64</v>
      </c>
      <c r="D69" s="458"/>
      <c r="E69" s="92"/>
    </row>
    <row r="70" spans="3:15" hidden="1">
      <c r="C70" s="95" t="s">
        <v>94</v>
      </c>
      <c r="D70" s="96" t="s">
        <v>11</v>
      </c>
      <c r="E70" s="98">
        <v>861</v>
      </c>
      <c r="F70" s="101">
        <v>0</v>
      </c>
      <c r="G70" s="101"/>
      <c r="L70" s="99" t="e">
        <f>+'m2'!#REF!</f>
        <v>#REF!</v>
      </c>
      <c r="M70" s="99" t="e">
        <f>+'m2'!#REF!</f>
        <v>#REF!</v>
      </c>
      <c r="N70" s="99" t="e">
        <f>+'m2'!#REF!</f>
        <v>#REF!</v>
      </c>
    </row>
    <row r="71" spans="3:15" hidden="1">
      <c r="C71" s="95" t="s">
        <v>138</v>
      </c>
      <c r="D71" s="96" t="s">
        <v>11</v>
      </c>
      <c r="E71" s="98">
        <v>3514.613785</v>
      </c>
      <c r="F71" s="101">
        <v>0</v>
      </c>
      <c r="G71" s="101"/>
      <c r="L71" s="101"/>
      <c r="M71" s="99" t="e">
        <f>+'m2'!#REF!</f>
        <v>#REF!</v>
      </c>
      <c r="N71" s="99" t="e">
        <f>+'m2'!#REF!</f>
        <v>#REF!</v>
      </c>
    </row>
    <row r="72" spans="3:15" hidden="1">
      <c r="C72" s="95" t="s">
        <v>93</v>
      </c>
      <c r="D72" s="96" t="s">
        <v>11</v>
      </c>
      <c r="E72" s="98">
        <v>491.29000000000008</v>
      </c>
      <c r="F72" s="101">
        <v>0</v>
      </c>
      <c r="G72" s="101"/>
      <c r="L72" s="101"/>
      <c r="M72" s="99" t="e">
        <f>+'m2'!#REF!</f>
        <v>#REF!</v>
      </c>
      <c r="N72" s="99" t="e">
        <f>+'m2'!#REF!</f>
        <v>#REF!</v>
      </c>
    </row>
    <row r="73" spans="3:15" hidden="1">
      <c r="C73" s="95" t="s">
        <v>98</v>
      </c>
      <c r="D73" s="96" t="s">
        <v>11</v>
      </c>
      <c r="E73" s="98">
        <v>-65.772999999998916</v>
      </c>
      <c r="F73" s="99" t="e">
        <f>#REF!-E73</f>
        <v>#REF!</v>
      </c>
      <c r="G73" s="99"/>
      <c r="L73" s="99">
        <f>+E73</f>
        <v>-65.772999999998916</v>
      </c>
      <c r="M73" s="99" t="e">
        <f>+'m2'!#REF!</f>
        <v>#REF!</v>
      </c>
      <c r="N73" s="99" t="e">
        <f>+'m2'!#REF!</f>
        <v>#REF!</v>
      </c>
    </row>
    <row r="74" spans="3:15" ht="15.75" hidden="1" thickBot="1">
      <c r="C74" s="103" t="s">
        <v>16</v>
      </c>
      <c r="D74" s="123" t="s">
        <v>11</v>
      </c>
      <c r="E74" s="118">
        <f t="shared" ref="E74" si="11">SUM(E70:E73)</f>
        <v>4801.1307850000003</v>
      </c>
      <c r="F74" s="118" t="e">
        <f t="shared" ref="F74" si="12">SUM(F70:F73)</f>
        <v>#REF!</v>
      </c>
      <c r="G74" s="108"/>
      <c r="L74" s="118" t="e">
        <f t="shared" ref="L74" si="13">SUM(L70:L73)</f>
        <v>#REF!</v>
      </c>
      <c r="M74" s="118" t="e">
        <f t="shared" ref="M74" si="14">SUM(M70:M73)</f>
        <v>#REF!</v>
      </c>
      <c r="N74" s="120" t="e">
        <f>SUM(N70:N73)</f>
        <v>#REF!</v>
      </c>
      <c r="O74" s="121" t="e">
        <f>+N74/#REF!</f>
        <v>#REF!</v>
      </c>
    </row>
    <row r="75" spans="3:15" hidden="1"/>
    <row r="77" spans="3:15" ht="18.75">
      <c r="C77" s="107" t="s">
        <v>139</v>
      </c>
    </row>
    <row r="78" spans="3:15" ht="15.75">
      <c r="E78" s="454"/>
      <c r="F78" s="454"/>
      <c r="G78" s="454"/>
      <c r="H78" s="454"/>
      <c r="I78" s="454"/>
      <c r="J78" s="454"/>
      <c r="K78" s="454"/>
      <c r="L78" s="454"/>
      <c r="M78" s="454"/>
      <c r="N78" s="454"/>
    </row>
    <row r="79" spans="3:15" ht="15.75">
      <c r="C79" s="94" t="s">
        <v>0</v>
      </c>
      <c r="D79" s="84"/>
      <c r="E79" s="228"/>
      <c r="F79" s="229"/>
      <c r="G79" s="228"/>
      <c r="H79" s="86"/>
      <c r="I79" s="86"/>
      <c r="J79" s="84"/>
      <c r="K79" s="85"/>
      <c r="L79" s="228"/>
      <c r="M79" s="229"/>
      <c r="N79" s="228"/>
    </row>
    <row r="80" spans="3:15">
      <c r="C80" s="108" t="s">
        <v>63</v>
      </c>
      <c r="D80" s="241">
        <v>73000</v>
      </c>
      <c r="E80" s="446" t="s">
        <v>136</v>
      </c>
      <c r="F80" s="446"/>
      <c r="G80" s="446"/>
      <c r="L80" s="447" t="s">
        <v>140</v>
      </c>
      <c r="M80" s="448"/>
      <c r="N80" s="449"/>
    </row>
    <row r="81" spans="3:15">
      <c r="C81" s="103" t="s">
        <v>64</v>
      </c>
      <c r="D81" s="242">
        <v>746.3250612876019</v>
      </c>
      <c r="E81" s="446"/>
      <c r="F81" s="446"/>
      <c r="G81" s="446"/>
      <c r="H81" s="236"/>
      <c r="K81" s="237"/>
      <c r="L81" s="450"/>
      <c r="M81" s="451"/>
      <c r="N81" s="452"/>
    </row>
    <row r="82" spans="3:15" ht="45">
      <c r="C82" s="103"/>
      <c r="D82" s="242"/>
      <c r="E82" s="389" t="s">
        <v>60</v>
      </c>
      <c r="F82" s="390" t="s">
        <v>61</v>
      </c>
      <c r="G82" s="389" t="s">
        <v>62</v>
      </c>
      <c r="H82" s="234" t="s">
        <v>4</v>
      </c>
      <c r="I82" s="234" t="s">
        <v>5</v>
      </c>
      <c r="J82" s="235" t="s">
        <v>2</v>
      </c>
      <c r="K82" s="388" t="s">
        <v>6</v>
      </c>
      <c r="L82" s="389" t="s">
        <v>60</v>
      </c>
      <c r="M82" s="390" t="s">
        <v>61</v>
      </c>
      <c r="N82" s="389" t="s">
        <v>62</v>
      </c>
      <c r="O82" s="87"/>
    </row>
    <row r="83" spans="3:15">
      <c r="C83" s="95" t="s">
        <v>94</v>
      </c>
      <c r="D83" s="96" t="s">
        <v>11</v>
      </c>
      <c r="E83" s="124">
        <f>'m2'!L37</f>
        <v>943.80000000000007</v>
      </c>
      <c r="F83" s="124"/>
      <c r="G83" s="124">
        <f>'m2'!N37</f>
        <v>943.80000000000007</v>
      </c>
      <c r="H83" s="147" t="e">
        <f>+'m2'!#REF!</f>
        <v>#REF!</v>
      </c>
      <c r="I83" s="147" t="e">
        <f>+'m2'!#REF!</f>
        <v>#REF!</v>
      </c>
      <c r="J83" s="143" t="e">
        <f>+'m2'!#REF!</f>
        <v>#REF!</v>
      </c>
      <c r="K83" s="143" t="e">
        <f>SUM(I83:J83)</f>
        <v>#REF!</v>
      </c>
      <c r="L83" s="227">
        <f>'m2'!AB37</f>
        <v>6022.6879026300103</v>
      </c>
      <c r="M83" s="227">
        <f>'m2'!AC37</f>
        <v>92.819437466669029</v>
      </c>
      <c r="N83" s="227">
        <f>'m2'!AD37</f>
        <v>6115.5073400966794</v>
      </c>
    </row>
    <row r="84" spans="3:15">
      <c r="C84" s="95" t="s">
        <v>95</v>
      </c>
      <c r="D84" s="96" t="s">
        <v>11</v>
      </c>
      <c r="E84" s="124"/>
      <c r="F84" s="124"/>
      <c r="G84" s="124"/>
      <c r="H84" s="147"/>
      <c r="I84" s="147"/>
      <c r="J84" s="143"/>
      <c r="K84" s="122"/>
      <c r="L84" s="227"/>
      <c r="M84" s="227"/>
      <c r="N84" s="227"/>
    </row>
    <row r="85" spans="3:15">
      <c r="C85" s="95" t="s">
        <v>138</v>
      </c>
      <c r="D85" s="96" t="s">
        <v>11</v>
      </c>
      <c r="E85" s="124">
        <f>'m2'!L39</f>
        <v>4116.2041479999998</v>
      </c>
      <c r="F85" s="124">
        <f>'m2'!M39</f>
        <v>62.414999999999999</v>
      </c>
      <c r="G85" s="124">
        <f>'m2'!N39</f>
        <v>4178.6191479999998</v>
      </c>
      <c r="H85" s="143"/>
      <c r="I85" s="143"/>
      <c r="J85" s="143" t="e">
        <f>+'m2'!#REF!</f>
        <v>#REF!</v>
      </c>
      <c r="K85" s="122" t="e">
        <f t="shared" ref="K85" si="15">SUM(I85:J85)</f>
        <v>#REF!</v>
      </c>
      <c r="L85" s="378">
        <f>'m2'!AB39</f>
        <v>0</v>
      </c>
      <c r="M85" s="227">
        <f>'m2'!AC39</f>
        <v>282.4485864049301</v>
      </c>
      <c r="N85" s="227">
        <f>'m2'!AD39</f>
        <v>282.4485864049301</v>
      </c>
    </row>
    <row r="86" spans="3:15">
      <c r="C86" s="95" t="s">
        <v>93</v>
      </c>
      <c r="D86" s="96" t="s">
        <v>11</v>
      </c>
      <c r="E86" s="124">
        <f>'m2'!L40</f>
        <v>616.70400000000006</v>
      </c>
      <c r="F86" s="124">
        <f>'m2'!M40</f>
        <v>23.432999999999996</v>
      </c>
      <c r="G86" s="124">
        <f>'m2'!N40</f>
        <v>640.13700000000006</v>
      </c>
      <c r="H86" s="143"/>
      <c r="I86" s="143"/>
      <c r="J86" s="143"/>
      <c r="K86" s="122"/>
      <c r="L86" s="227"/>
      <c r="M86" s="227"/>
      <c r="N86" s="227"/>
    </row>
    <row r="87" spans="3:15">
      <c r="C87" s="95" t="s">
        <v>14</v>
      </c>
      <c r="D87" s="96" t="s">
        <v>11</v>
      </c>
      <c r="E87" s="124"/>
      <c r="F87" s="124"/>
      <c r="G87" s="124"/>
      <c r="H87" s="143"/>
      <c r="I87" s="143"/>
      <c r="J87" s="143"/>
      <c r="K87" s="122"/>
      <c r="L87" s="227">
        <f>'m2'!AB40</f>
        <v>-59.883403795753807</v>
      </c>
      <c r="M87" s="227">
        <f>'m2'!AC40</f>
        <v>1214.0795943449186</v>
      </c>
      <c r="N87" s="227">
        <f>'m2'!AD40</f>
        <v>1154.1961905491648</v>
      </c>
    </row>
    <row r="88" spans="3:15">
      <c r="C88" s="95" t="s">
        <v>98</v>
      </c>
      <c r="D88" s="96" t="s">
        <v>11</v>
      </c>
      <c r="E88" s="124">
        <f>'m2'!L41</f>
        <v>-55.406999999999996</v>
      </c>
      <c r="F88" s="124">
        <f>'m2'!M41</f>
        <v>11912.979976656034</v>
      </c>
      <c r="G88" s="124">
        <f>'m2'!N41</f>
        <v>11857.572976656034</v>
      </c>
      <c r="H88" s="125" t="e">
        <f>I88/$D$6</f>
        <v>#REF!</v>
      </c>
      <c r="I88" s="143" t="e">
        <f>+'m2'!#REF!</f>
        <v>#REF!</v>
      </c>
      <c r="J88" s="143" t="e">
        <f>+'m2'!#REF!</f>
        <v>#REF!</v>
      </c>
      <c r="K88" s="122" t="e">
        <f t="shared" ref="K88" si="16">SUM(I88:J88)</f>
        <v>#REF!</v>
      </c>
      <c r="L88" s="227">
        <f>'m2'!AB41</f>
        <v>102.54799109418887</v>
      </c>
      <c r="M88" s="227">
        <f>'m2'!AC41</f>
        <v>10410.807814229202</v>
      </c>
      <c r="N88" s="227">
        <f>'m2'!AD41</f>
        <v>10513.35580532339</v>
      </c>
    </row>
    <row r="89" spans="3:15">
      <c r="C89" s="103" t="s">
        <v>16</v>
      </c>
      <c r="D89" s="396" t="s">
        <v>11</v>
      </c>
      <c r="E89" s="402">
        <f>'m2'!L42</f>
        <v>5621.3011479999996</v>
      </c>
      <c r="F89" s="402">
        <f>'m2'!M42</f>
        <v>11998.827976656034</v>
      </c>
      <c r="G89" s="402">
        <f>'m2'!N42</f>
        <v>17620.129124656036</v>
      </c>
      <c r="H89" s="144"/>
      <c r="I89" s="144" t="e">
        <f>SUM(I83:I88)</f>
        <v>#REF!</v>
      </c>
      <c r="J89" s="144" t="e">
        <f>SUM(J83:J88)</f>
        <v>#REF!</v>
      </c>
      <c r="K89" s="145" t="e">
        <f>SUM(K83:K88)</f>
        <v>#REF!</v>
      </c>
      <c r="L89" s="249">
        <f>'m2'!AB42</f>
        <v>6065.3524899284448</v>
      </c>
      <c r="M89" s="249">
        <f>'m2'!AC42</f>
        <v>12000.155432445719</v>
      </c>
      <c r="N89" s="249">
        <f>'m2'!AD42</f>
        <v>18065.507922374163</v>
      </c>
    </row>
    <row r="90" spans="3:15">
      <c r="C90" s="395" t="s">
        <v>24</v>
      </c>
      <c r="D90" s="231"/>
      <c r="E90" s="232"/>
      <c r="F90" s="232"/>
      <c r="G90" s="398"/>
      <c r="H90" s="232"/>
      <c r="I90" s="232"/>
      <c r="J90" s="233"/>
      <c r="K90" s="135" t="e">
        <f>+K89/#REF!</f>
        <v>#REF!</v>
      </c>
      <c r="L90" s="444"/>
      <c r="M90" s="445"/>
      <c r="N90" s="135">
        <f>+N89/$G89</f>
        <v>1.0252767045330504</v>
      </c>
      <c r="O90" s="281"/>
    </row>
    <row r="91" spans="3:15" ht="15.75">
      <c r="C91" s="93" t="s">
        <v>17</v>
      </c>
      <c r="M91" s="146"/>
    </row>
    <row r="92" spans="3:15">
      <c r="C92" s="108" t="s">
        <v>63</v>
      </c>
      <c r="D92" s="241">
        <v>60000</v>
      </c>
      <c r="E92" s="446" t="s">
        <v>136</v>
      </c>
      <c r="F92" s="446"/>
      <c r="G92" s="446"/>
      <c r="L92" s="447" t="s">
        <v>140</v>
      </c>
      <c r="M92" s="448"/>
      <c r="N92" s="449"/>
    </row>
    <row r="93" spans="3:15">
      <c r="C93" s="103" t="s">
        <v>64</v>
      </c>
      <c r="D93" s="242">
        <v>613.41785859254946</v>
      </c>
      <c r="E93" s="446"/>
      <c r="F93" s="446"/>
      <c r="G93" s="446"/>
      <c r="H93" s="236"/>
      <c r="K93" s="237"/>
      <c r="L93" s="450"/>
      <c r="M93" s="451"/>
      <c r="N93" s="452"/>
    </row>
    <row r="94" spans="3:15" ht="45">
      <c r="C94" s="103"/>
      <c r="D94" s="242"/>
      <c r="E94" s="389" t="s">
        <v>60</v>
      </c>
      <c r="F94" s="390" t="s">
        <v>61</v>
      </c>
      <c r="G94" s="389" t="s">
        <v>62</v>
      </c>
      <c r="H94" s="234" t="s">
        <v>4</v>
      </c>
      <c r="I94" s="234" t="s">
        <v>5</v>
      </c>
      <c r="J94" s="235" t="s">
        <v>2</v>
      </c>
      <c r="K94" s="388" t="s">
        <v>6</v>
      </c>
      <c r="L94" s="389" t="s">
        <v>60</v>
      </c>
      <c r="M94" s="390" t="s">
        <v>61</v>
      </c>
      <c r="N94" s="389" t="s">
        <v>62</v>
      </c>
    </row>
    <row r="95" spans="3:15">
      <c r="C95" s="95" t="s">
        <v>94</v>
      </c>
      <c r="D95" s="96" t="s">
        <v>11</v>
      </c>
      <c r="E95" s="124">
        <f>'m2'!L25</f>
        <v>943.80000000000007</v>
      </c>
      <c r="F95" s="124"/>
      <c r="G95" s="124">
        <f>'m2'!N25</f>
        <v>943.80000000000007</v>
      </c>
      <c r="H95" s="147" t="e">
        <f>+'m2'!#REF!</f>
        <v>#REF!</v>
      </c>
      <c r="I95" s="147" t="e">
        <f>+'m2'!#REF!</f>
        <v>#REF!</v>
      </c>
      <c r="J95" s="143" t="e">
        <f>+'m2'!#REF!</f>
        <v>#REF!</v>
      </c>
      <c r="K95" s="143" t="e">
        <f>SUM(I95:J95)</f>
        <v>#REF!</v>
      </c>
      <c r="L95" s="227">
        <f>'m2'!AB25</f>
        <v>6022.6879026300103</v>
      </c>
      <c r="M95" s="227">
        <f>'m2'!AC25</f>
        <v>92.819437466669029</v>
      </c>
      <c r="N95" s="227">
        <f>'m2'!AD25</f>
        <v>6115.5073400966794</v>
      </c>
    </row>
    <row r="96" spans="3:15">
      <c r="C96" s="95" t="s">
        <v>95</v>
      </c>
      <c r="D96" s="96" t="s">
        <v>11</v>
      </c>
      <c r="E96" s="124"/>
      <c r="F96" s="124"/>
      <c r="G96" s="124"/>
      <c r="H96" s="147"/>
      <c r="I96" s="147"/>
      <c r="J96" s="143"/>
      <c r="K96" s="122"/>
      <c r="L96" s="227"/>
      <c r="M96" s="227"/>
      <c r="N96" s="227"/>
    </row>
    <row r="97" spans="3:15">
      <c r="C97" s="95" t="s">
        <v>138</v>
      </c>
      <c r="D97" s="96" t="s">
        <v>11</v>
      </c>
      <c r="E97" s="124">
        <f>'m2'!L27</f>
        <v>3403.1245599999997</v>
      </c>
      <c r="F97" s="124">
        <f>'m2'!M27</f>
        <v>51.3</v>
      </c>
      <c r="G97" s="124">
        <f>'m2'!N27</f>
        <v>3454.4245599999999</v>
      </c>
      <c r="H97" s="143"/>
      <c r="I97" s="143"/>
      <c r="J97" s="143" t="e">
        <f>+'m2'!#REF!</f>
        <v>#REF!</v>
      </c>
      <c r="K97" s="122" t="e">
        <f t="shared" ref="K97" si="17">SUM(I97:J97)</f>
        <v>#REF!</v>
      </c>
      <c r="L97" s="378">
        <f>'m2'!AB27</f>
        <v>0</v>
      </c>
      <c r="M97" s="227">
        <f>'m2'!AC27</f>
        <v>232.14952307254529</v>
      </c>
      <c r="N97" s="227">
        <f>'m2'!AD27</f>
        <v>232.14952307254529</v>
      </c>
    </row>
    <row r="98" spans="3:15">
      <c r="C98" s="95" t="s">
        <v>93</v>
      </c>
      <c r="D98" s="96" t="s">
        <v>11</v>
      </c>
      <c r="E98" s="124">
        <f>'m2'!L28</f>
        <v>506.88000000000005</v>
      </c>
      <c r="F98" s="124">
        <f>'m2'!M28</f>
        <v>19.259999999999998</v>
      </c>
      <c r="G98" s="124">
        <f>'m2'!N28</f>
        <v>526.1400000000001</v>
      </c>
      <c r="H98" s="143"/>
      <c r="I98" s="143"/>
      <c r="J98" s="143"/>
      <c r="K98" s="122"/>
      <c r="L98" s="227"/>
      <c r="M98" s="227"/>
      <c r="N98" s="227"/>
    </row>
    <row r="99" spans="3:15">
      <c r="C99" s="95" t="s">
        <v>14</v>
      </c>
      <c r="D99" s="96" t="s">
        <v>11</v>
      </c>
      <c r="E99" s="124"/>
      <c r="F99" s="124"/>
      <c r="G99" s="124"/>
      <c r="H99" s="143"/>
      <c r="I99" s="143"/>
      <c r="J99" s="143"/>
      <c r="K99" s="122"/>
      <c r="L99" s="227">
        <f>'m2'!AB28</f>
        <v>-49.21923599650998</v>
      </c>
      <c r="M99" s="227">
        <f>'m2'!AC28</f>
        <v>997.87363918760434</v>
      </c>
      <c r="N99" s="227">
        <f>'m2'!AD28</f>
        <v>948.65440319109439</v>
      </c>
    </row>
    <row r="100" spans="3:15">
      <c r="C100" s="95" t="s">
        <v>98</v>
      </c>
      <c r="D100" s="96" t="s">
        <v>11</v>
      </c>
      <c r="E100" s="124">
        <f>'m2'!L29</f>
        <v>-45.539999999999992</v>
      </c>
      <c r="F100" s="124">
        <f>'m2'!M29</f>
        <v>9791.4903917720821</v>
      </c>
      <c r="G100" s="124">
        <f>'m2'!N29</f>
        <v>9745.9503917720813</v>
      </c>
      <c r="H100" s="125" t="e">
        <f>I100/$D$18</f>
        <v>#REF!</v>
      </c>
      <c r="I100" s="143" t="e">
        <f>+'m2'!#REF!</f>
        <v>#REF!</v>
      </c>
      <c r="J100" s="143" t="e">
        <f>+'m2'!#REF!</f>
        <v>#REF!</v>
      </c>
      <c r="K100" s="122" t="e">
        <f t="shared" ref="K100" si="18">SUM(I100:J100)</f>
        <v>#REF!</v>
      </c>
      <c r="L100" s="227">
        <f>'m2'!AB29</f>
        <v>84.286020077415515</v>
      </c>
      <c r="M100" s="227">
        <f>'m2'!AC29</f>
        <v>8556.828340462358</v>
      </c>
      <c r="N100" s="227">
        <f>'m2'!AD29</f>
        <v>8641.1143605397738</v>
      </c>
      <c r="O100" s="281"/>
    </row>
    <row r="101" spans="3:15">
      <c r="C101" s="103" t="s">
        <v>16</v>
      </c>
      <c r="D101" s="396" t="s">
        <v>11</v>
      </c>
      <c r="E101" s="402">
        <f>'m2'!L30</f>
        <v>4808.2645599999996</v>
      </c>
      <c r="F101" s="402">
        <f>'m2'!M30</f>
        <v>9862.0503917720816</v>
      </c>
      <c r="G101" s="402">
        <f>'m2'!N30</f>
        <v>14670.314951772081</v>
      </c>
      <c r="H101" s="144"/>
      <c r="I101" s="144" t="e">
        <f>SUM(I95:I100)</f>
        <v>#REF!</v>
      </c>
      <c r="J101" s="144" t="e">
        <f>SUM(J95:J100)</f>
        <v>#REF!</v>
      </c>
      <c r="K101" s="145" t="e">
        <f>SUM(K95:K100)</f>
        <v>#REF!</v>
      </c>
      <c r="L101" s="249">
        <f>'m2'!AB30</f>
        <v>6057.7546867109158</v>
      </c>
      <c r="M101" s="249">
        <f>'m2'!AC30</f>
        <v>9879.6709401891767</v>
      </c>
      <c r="N101" s="249">
        <f>'m2'!AD30</f>
        <v>15937.425626900093</v>
      </c>
    </row>
    <row r="102" spans="3:15">
      <c r="C102" s="395" t="s">
        <v>24</v>
      </c>
      <c r="D102" s="231"/>
      <c r="E102" s="232"/>
      <c r="F102" s="232"/>
      <c r="G102" s="398"/>
      <c r="H102" s="232"/>
      <c r="I102" s="232"/>
      <c r="J102" s="233"/>
      <c r="K102" s="135" t="e">
        <f>+K101/#REF!</f>
        <v>#REF!</v>
      </c>
      <c r="L102" s="444"/>
      <c r="M102" s="445"/>
      <c r="N102" s="135">
        <f>+N101/$G101</f>
        <v>1.0863724248111628</v>
      </c>
    </row>
    <row r="103" spans="3:15" ht="15.75">
      <c r="C103" s="93" t="s">
        <v>18</v>
      </c>
    </row>
    <row r="104" spans="3:15">
      <c r="C104" s="108" t="s">
        <v>63</v>
      </c>
      <c r="D104" s="241">
        <v>250000</v>
      </c>
      <c r="E104" s="446" t="s">
        <v>136</v>
      </c>
      <c r="F104" s="446"/>
      <c r="G104" s="446"/>
      <c r="L104" s="447" t="s">
        <v>140</v>
      </c>
      <c r="M104" s="448"/>
      <c r="N104" s="449"/>
    </row>
    <row r="105" spans="3:15">
      <c r="C105" s="103" t="s">
        <v>64</v>
      </c>
      <c r="D105" s="242">
        <v>2555.907744135623</v>
      </c>
      <c r="E105" s="446"/>
      <c r="F105" s="446"/>
      <c r="G105" s="446"/>
      <c r="H105" s="236"/>
      <c r="K105" s="237"/>
      <c r="L105" s="450"/>
      <c r="M105" s="451"/>
      <c r="N105" s="452"/>
    </row>
    <row r="106" spans="3:15" ht="45">
      <c r="C106" s="103"/>
      <c r="D106" s="242"/>
      <c r="E106" s="389" t="s">
        <v>60</v>
      </c>
      <c r="F106" s="390" t="s">
        <v>61</v>
      </c>
      <c r="G106" s="389" t="s">
        <v>62</v>
      </c>
      <c r="H106" s="234" t="s">
        <v>4</v>
      </c>
      <c r="I106" s="234" t="s">
        <v>5</v>
      </c>
      <c r="J106" s="235" t="s">
        <v>2</v>
      </c>
      <c r="K106" s="388" t="s">
        <v>6</v>
      </c>
      <c r="L106" s="389" t="s">
        <v>60</v>
      </c>
      <c r="M106" s="390" t="s">
        <v>61</v>
      </c>
      <c r="N106" s="389" t="s">
        <v>62</v>
      </c>
    </row>
    <row r="107" spans="3:15">
      <c r="C107" s="95" t="s">
        <v>94</v>
      </c>
      <c r="D107" s="96" t="s">
        <v>11</v>
      </c>
      <c r="E107" s="124">
        <f>'m2'!L49</f>
        <v>943.80000000000007</v>
      </c>
      <c r="F107" s="124"/>
      <c r="G107" s="124">
        <f>'m2'!N49</f>
        <v>943.80000000000007</v>
      </c>
      <c r="H107" s="124">
        <f>'m2'!O49</f>
        <v>0</v>
      </c>
      <c r="I107" s="124">
        <f>'m2'!P49</f>
        <v>0</v>
      </c>
      <c r="J107" s="124" t="str">
        <f>'m2'!Q49</f>
        <v>Monthly Charge</v>
      </c>
      <c r="K107" s="124" t="str">
        <f>'m2'!R49</f>
        <v>$</v>
      </c>
      <c r="L107" s="227">
        <f>'m2'!AB49</f>
        <v>6022.6879026300103</v>
      </c>
      <c r="M107" s="227">
        <f>'m2'!AC49</f>
        <v>92.819437466669029</v>
      </c>
      <c r="N107" s="227">
        <f>'m2'!AD49</f>
        <v>6115.5073400966794</v>
      </c>
    </row>
    <row r="108" spans="3:15">
      <c r="C108" s="95" t="s">
        <v>95</v>
      </c>
      <c r="D108" s="96" t="s">
        <v>11</v>
      </c>
      <c r="E108" s="124"/>
      <c r="F108" s="124"/>
      <c r="G108" s="124"/>
      <c r="H108" s="147"/>
      <c r="I108" s="147"/>
      <c r="J108" s="143"/>
      <c r="K108" s="122"/>
      <c r="L108" s="227"/>
      <c r="M108" s="227"/>
      <c r="N108" s="227"/>
    </row>
    <row r="109" spans="3:15">
      <c r="C109" s="95" t="s">
        <v>138</v>
      </c>
      <c r="D109" s="96" t="s">
        <v>11</v>
      </c>
      <c r="E109" s="124">
        <f>'m2'!L51</f>
        <v>13376.153999999999</v>
      </c>
      <c r="F109" s="124">
        <f>'m2'!M51</f>
        <v>213.75</v>
      </c>
      <c r="G109" s="124">
        <f>'m2'!N51</f>
        <v>13589.903999999999</v>
      </c>
      <c r="H109" s="143"/>
      <c r="I109" s="143"/>
      <c r="J109" s="143" t="e">
        <f>+'m2'!#REF!</f>
        <v>#REF!</v>
      </c>
      <c r="K109" s="122" t="e">
        <f t="shared" ref="K109" si="19">SUM(I109:J109)</f>
        <v>#REF!</v>
      </c>
      <c r="L109" s="378">
        <f>'m2'!AB51</f>
        <v>0</v>
      </c>
      <c r="M109" s="227">
        <f>'m2'!AC51</f>
        <v>967.28967946893863</v>
      </c>
      <c r="N109" s="227">
        <f>'m2'!AD51</f>
        <v>967.28967946893863</v>
      </c>
    </row>
    <row r="110" spans="3:15">
      <c r="C110" s="95" t="s">
        <v>93</v>
      </c>
      <c r="D110" s="96" t="s">
        <v>11</v>
      </c>
      <c r="E110" s="124">
        <f>'m2'!L52</f>
        <v>2112</v>
      </c>
      <c r="F110" s="124">
        <f>'m2'!M52</f>
        <v>80.249999999999986</v>
      </c>
      <c r="G110" s="124">
        <f>'m2'!N52</f>
        <v>2192.25</v>
      </c>
      <c r="H110" s="143"/>
      <c r="I110" s="143"/>
      <c r="J110" s="143"/>
      <c r="K110" s="122"/>
      <c r="L110" s="227"/>
      <c r="M110" s="227"/>
      <c r="N110" s="227"/>
      <c r="O110" s="281"/>
    </row>
    <row r="111" spans="3:15">
      <c r="C111" s="95" t="s">
        <v>14</v>
      </c>
      <c r="D111" s="96" t="s">
        <v>11</v>
      </c>
      <c r="E111" s="124"/>
      <c r="F111" s="124"/>
      <c r="G111" s="124"/>
      <c r="H111" s="143"/>
      <c r="I111" s="143"/>
      <c r="J111" s="143"/>
      <c r="K111" s="122"/>
      <c r="L111" s="227">
        <f>'m2'!AB52</f>
        <v>-205.08014998545826</v>
      </c>
      <c r="M111" s="227">
        <f>'m2'!AC52</f>
        <v>4157.8068299483512</v>
      </c>
      <c r="N111" s="227">
        <f>'m2'!AD52</f>
        <v>3952.7266799628928</v>
      </c>
      <c r="O111" s="281"/>
    </row>
    <row r="112" spans="3:15">
      <c r="C112" s="95" t="s">
        <v>98</v>
      </c>
      <c r="D112" s="96" t="s">
        <v>11</v>
      </c>
      <c r="E112" s="124">
        <f>'m2'!L53</f>
        <v>-189.74999999999997</v>
      </c>
      <c r="F112" s="124">
        <f>'m2'!M53</f>
        <v>40797.876632383675</v>
      </c>
      <c r="G112" s="124">
        <f>'m2'!N53</f>
        <v>40608.126632383675</v>
      </c>
      <c r="H112" s="125" t="e">
        <f>I112/$D$30</f>
        <v>#REF!</v>
      </c>
      <c r="I112" s="143" t="e">
        <f>+'m2'!#REF!</f>
        <v>#REF!</v>
      </c>
      <c r="J112" s="143" t="e">
        <f>+'m2'!#REF!</f>
        <v>#REF!</v>
      </c>
      <c r="K112" s="122" t="e">
        <f t="shared" ref="K112" si="20">SUM(I112:J112)</f>
        <v>#REF!</v>
      </c>
      <c r="L112" s="227">
        <f>'m2'!AB53</f>
        <v>351.19175032256464</v>
      </c>
      <c r="M112" s="227">
        <f>'m2'!AC53</f>
        <v>35653.451418593155</v>
      </c>
      <c r="N112" s="227">
        <f>'m2'!AD53</f>
        <v>36004.643168915718</v>
      </c>
    </row>
    <row r="113" spans="3:15">
      <c r="C113" s="103" t="s">
        <v>16</v>
      </c>
      <c r="D113" s="123" t="s">
        <v>11</v>
      </c>
      <c r="E113" s="126">
        <f>'m2'!L54</f>
        <v>16242.203999999998</v>
      </c>
      <c r="F113" s="126">
        <f>'m2'!M54</f>
        <v>41091.876632383675</v>
      </c>
      <c r="G113" s="126">
        <f>'m2'!N54</f>
        <v>57334.080632383673</v>
      </c>
      <c r="H113" s="144"/>
      <c r="I113" s="144" t="e">
        <f>SUM(I107:I112)</f>
        <v>#REF!</v>
      </c>
      <c r="J113" s="144" t="e">
        <f>SUM(J107:J112)</f>
        <v>#REF!</v>
      </c>
      <c r="K113" s="145" t="e">
        <f>SUM(K107:K112)</f>
        <v>#REF!</v>
      </c>
      <c r="L113" s="249">
        <f>'m2'!AB54</f>
        <v>6168.7995029671174</v>
      </c>
      <c r="M113" s="249">
        <f>'m2'!AC54</f>
        <v>40871.367365477112</v>
      </c>
      <c r="N113" s="249">
        <f>'m2'!AD54</f>
        <v>47040.166868444227</v>
      </c>
    </row>
    <row r="114" spans="3:15" ht="18.600000000000001" hidden="1" customHeight="1">
      <c r="C114" s="103" t="s">
        <v>24</v>
      </c>
      <c r="D114" s="231"/>
      <c r="E114" s="232"/>
      <c r="F114" s="232"/>
      <c r="G114" s="238" t="e">
        <f>G113/#REF!</f>
        <v>#REF!</v>
      </c>
      <c r="H114" s="232"/>
      <c r="I114" s="232"/>
      <c r="J114" s="233"/>
      <c r="K114" s="135" t="e">
        <f>+K113/#REF!</f>
        <v>#REF!</v>
      </c>
      <c r="L114" s="444"/>
      <c r="M114" s="445"/>
      <c r="N114" s="135">
        <f>+N113/$G113</f>
        <v>0.82045733269986032</v>
      </c>
    </row>
    <row r="115" spans="3:15" ht="14.45" hidden="1" customHeight="1">
      <c r="E115" s="275"/>
      <c r="F115" s="275"/>
      <c r="G115" s="275"/>
      <c r="L115" s="275"/>
      <c r="M115" s="275"/>
      <c r="N115" s="275"/>
    </row>
    <row r="116" spans="3:15" ht="15.6" hidden="1" customHeight="1">
      <c r="C116" s="106"/>
      <c r="D116" s="84"/>
      <c r="E116" s="228"/>
      <c r="F116" s="229"/>
      <c r="G116" s="228"/>
      <c r="L116" s="228"/>
      <c r="M116" s="229"/>
      <c r="N116" s="228"/>
      <c r="O116" s="87"/>
    </row>
    <row r="117" spans="3:15" ht="14.45" hidden="1" customHeight="1">
      <c r="C117" s="88"/>
      <c r="D117" s="277"/>
      <c r="E117" s="90"/>
    </row>
    <row r="118" spans="3:15" ht="14.45" hidden="1" customHeight="1">
      <c r="C118" s="91"/>
      <c r="D118" s="277"/>
      <c r="E118" s="92"/>
    </row>
    <row r="119" spans="3:15" ht="14.45" hidden="1" customHeight="1">
      <c r="C119" s="278"/>
      <c r="D119" s="89"/>
      <c r="E119" s="271"/>
      <c r="L119" s="276"/>
      <c r="M119" s="276"/>
      <c r="N119" s="276"/>
    </row>
    <row r="120" spans="3:15" ht="14.45" hidden="1" customHeight="1">
      <c r="C120" s="278"/>
      <c r="D120" s="89"/>
      <c r="E120" s="271"/>
      <c r="M120" s="276"/>
      <c r="N120" s="276"/>
    </row>
    <row r="121" spans="3:15" ht="14.45" hidden="1" customHeight="1">
      <c r="C121" s="278"/>
      <c r="D121" s="89"/>
      <c r="E121" s="271"/>
      <c r="M121" s="276"/>
      <c r="N121" s="276"/>
    </row>
    <row r="122" spans="3:15" ht="14.45" hidden="1" customHeight="1">
      <c r="C122" s="278"/>
      <c r="D122" s="89"/>
      <c r="E122" s="271"/>
      <c r="F122" s="276"/>
      <c r="G122" s="276"/>
      <c r="L122" s="276"/>
      <c r="M122" s="276"/>
      <c r="N122" s="276"/>
    </row>
    <row r="123" spans="3:15" ht="14.45" hidden="1" customHeight="1">
      <c r="C123" s="91"/>
      <c r="D123" s="279"/>
      <c r="E123" s="280"/>
      <c r="F123" s="280"/>
      <c r="G123" s="275"/>
      <c r="L123" s="280"/>
      <c r="M123" s="280"/>
      <c r="N123" s="280"/>
      <c r="O123" s="281"/>
    </row>
    <row r="124" spans="3:15" ht="14.45" hidden="1" customHeight="1"/>
    <row r="125" spans="3:15" ht="15.6" hidden="1" customHeight="1">
      <c r="C125" s="106"/>
    </row>
    <row r="126" spans="3:15" ht="14.45" hidden="1" customHeight="1">
      <c r="C126" s="88"/>
      <c r="D126" s="277"/>
      <c r="E126" s="90"/>
    </row>
    <row r="127" spans="3:15" ht="14.45" hidden="1" customHeight="1">
      <c r="C127" s="91"/>
      <c r="D127" s="277"/>
      <c r="E127" s="92"/>
    </row>
    <row r="128" spans="3:15" ht="14.45" hidden="1" customHeight="1">
      <c r="C128" s="278"/>
      <c r="D128" s="89"/>
      <c r="E128" s="271"/>
      <c r="L128" s="276"/>
      <c r="M128" s="276"/>
      <c r="N128" s="276"/>
    </row>
    <row r="129" spans="3:15" ht="14.45" hidden="1" customHeight="1">
      <c r="C129" s="278"/>
      <c r="D129" s="89"/>
      <c r="E129" s="271"/>
      <c r="L129" s="276"/>
      <c r="M129" s="276"/>
      <c r="N129" s="276"/>
    </row>
    <row r="130" spans="3:15" ht="14.45" hidden="1" customHeight="1">
      <c r="C130" s="278"/>
      <c r="D130" s="89"/>
      <c r="E130" s="271"/>
      <c r="M130" s="276"/>
      <c r="N130" s="276"/>
    </row>
    <row r="131" spans="3:15" ht="14.45" hidden="1" customHeight="1">
      <c r="C131" s="278"/>
      <c r="D131" s="89"/>
      <c r="E131" s="271"/>
      <c r="F131" s="276"/>
      <c r="G131" s="276"/>
      <c r="L131" s="276"/>
      <c r="M131" s="276"/>
      <c r="N131" s="276"/>
    </row>
    <row r="132" spans="3:15" ht="14.45" hidden="1" customHeight="1">
      <c r="C132" s="91"/>
      <c r="D132" s="279"/>
      <c r="E132" s="280"/>
      <c r="F132" s="280"/>
      <c r="G132" s="275"/>
      <c r="L132" s="280"/>
      <c r="M132" s="280"/>
      <c r="N132" s="280"/>
      <c r="O132" s="281"/>
    </row>
    <row r="133" spans="3:15" ht="14.45" hidden="1" customHeight="1"/>
    <row r="134" spans="3:15" ht="14.45" hidden="1" customHeight="1"/>
    <row r="135" spans="3:15" ht="15.6" hidden="1" customHeight="1">
      <c r="C135" s="106"/>
    </row>
    <row r="136" spans="3:15" ht="14.45" hidden="1" customHeight="1">
      <c r="C136" s="88"/>
      <c r="D136" s="277"/>
      <c r="E136" s="90"/>
    </row>
    <row r="137" spans="3:15" ht="14.45" hidden="1" customHeight="1">
      <c r="C137" s="91"/>
      <c r="D137" s="277"/>
      <c r="E137" s="92"/>
    </row>
    <row r="138" spans="3:15" ht="14.45" hidden="1" customHeight="1">
      <c r="C138" s="278"/>
      <c r="D138" s="89"/>
      <c r="E138" s="271"/>
      <c r="L138" s="276"/>
      <c r="M138" s="276"/>
      <c r="N138" s="276"/>
    </row>
    <row r="139" spans="3:15" ht="14.45" hidden="1" customHeight="1">
      <c r="C139" s="278"/>
      <c r="D139" s="89"/>
      <c r="E139" s="271"/>
      <c r="L139" s="276"/>
      <c r="M139" s="276"/>
      <c r="N139" s="276"/>
    </row>
    <row r="140" spans="3:15" ht="14.45" hidden="1" customHeight="1">
      <c r="C140" s="278"/>
      <c r="D140" s="89"/>
      <c r="E140" s="271"/>
      <c r="M140" s="276"/>
      <c r="N140" s="276"/>
    </row>
    <row r="141" spans="3:15" ht="14.45" hidden="1" customHeight="1">
      <c r="C141" s="278"/>
      <c r="D141" s="89"/>
      <c r="E141" s="271"/>
      <c r="F141" s="276"/>
      <c r="G141" s="276"/>
      <c r="L141" s="276"/>
      <c r="M141" s="276"/>
      <c r="N141" s="276"/>
    </row>
    <row r="142" spans="3:15" ht="14.45" hidden="1" customHeight="1">
      <c r="C142" s="91"/>
      <c r="D142" s="279"/>
      <c r="E142" s="280"/>
      <c r="F142" s="280"/>
      <c r="G142" s="275"/>
      <c r="L142" s="280"/>
      <c r="M142" s="280"/>
      <c r="N142" s="280"/>
      <c r="O142" s="281"/>
    </row>
    <row r="143" spans="3:15">
      <c r="C143" s="395" t="s">
        <v>24</v>
      </c>
      <c r="D143" s="231"/>
      <c r="E143" s="232"/>
      <c r="F143" s="232"/>
      <c r="G143" s="398"/>
      <c r="H143" s="232"/>
      <c r="I143" s="232"/>
      <c r="J143" s="233"/>
      <c r="K143" s="135" t="e">
        <f>+K142/#REF!</f>
        <v>#REF!</v>
      </c>
      <c r="L143" s="444"/>
      <c r="M143" s="445"/>
      <c r="N143" s="135">
        <f>N113/G113</f>
        <v>0.82045733269986032</v>
      </c>
    </row>
    <row r="145" spans="3:14" ht="18.75">
      <c r="C145" s="107" t="s">
        <v>141</v>
      </c>
    </row>
    <row r="146" spans="3:14" ht="15.75">
      <c r="E146" s="454"/>
      <c r="F146" s="454"/>
      <c r="G146" s="454"/>
      <c r="H146" s="454"/>
      <c r="I146" s="454"/>
      <c r="J146" s="454"/>
      <c r="K146" s="454"/>
      <c r="L146" s="454"/>
      <c r="M146" s="454"/>
      <c r="N146" s="454"/>
    </row>
    <row r="147" spans="3:14" ht="15.75">
      <c r="C147" s="94" t="s">
        <v>0</v>
      </c>
      <c r="D147" s="84"/>
      <c r="E147" s="228"/>
      <c r="F147" s="229"/>
      <c r="G147" s="228"/>
      <c r="H147" s="86"/>
      <c r="I147" s="86"/>
      <c r="J147" s="84"/>
      <c r="K147" s="85"/>
      <c r="L147" s="228"/>
      <c r="M147" s="229"/>
      <c r="N147" s="228"/>
    </row>
    <row r="148" spans="3:14">
      <c r="C148" s="108" t="s">
        <v>63</v>
      </c>
      <c r="D148" s="241">
        <v>73000</v>
      </c>
      <c r="E148" s="446" t="s">
        <v>136</v>
      </c>
      <c r="F148" s="446"/>
      <c r="G148" s="446"/>
      <c r="H148" s="411"/>
      <c r="I148" s="411"/>
      <c r="J148" s="411"/>
      <c r="K148" s="411"/>
      <c r="L148" s="447" t="s">
        <v>142</v>
      </c>
      <c r="M148" s="448"/>
      <c r="N148" s="449"/>
    </row>
    <row r="149" spans="3:14">
      <c r="C149" s="103" t="s">
        <v>64</v>
      </c>
      <c r="D149" s="242">
        <v>746.3250612876019</v>
      </c>
      <c r="E149" s="446"/>
      <c r="F149" s="446"/>
      <c r="G149" s="446"/>
      <c r="H149" s="411"/>
      <c r="I149" s="411"/>
      <c r="J149" s="411"/>
      <c r="K149" s="411"/>
      <c r="L149" s="450"/>
      <c r="M149" s="451"/>
      <c r="N149" s="452"/>
    </row>
    <row r="150" spans="3:14" ht="45">
      <c r="C150" s="103"/>
      <c r="D150" s="242"/>
      <c r="E150" s="389" t="s">
        <v>60</v>
      </c>
      <c r="F150" s="390" t="s">
        <v>61</v>
      </c>
      <c r="G150" s="389" t="s">
        <v>62</v>
      </c>
      <c r="H150" s="234" t="s">
        <v>4</v>
      </c>
      <c r="I150" s="234" t="s">
        <v>5</v>
      </c>
      <c r="J150" s="235" t="s">
        <v>2</v>
      </c>
      <c r="K150" s="388" t="s">
        <v>6</v>
      </c>
      <c r="L150" s="389" t="s">
        <v>60</v>
      </c>
      <c r="M150" s="390" t="s">
        <v>61</v>
      </c>
      <c r="N150" s="389" t="s">
        <v>62</v>
      </c>
    </row>
    <row r="151" spans="3:14">
      <c r="C151" s="95" t="s">
        <v>94</v>
      </c>
      <c r="D151" s="96" t="s">
        <v>11</v>
      </c>
      <c r="E151" s="124">
        <f>'m2'!L37</f>
        <v>943.80000000000007</v>
      </c>
      <c r="F151" s="124"/>
      <c r="G151" s="124">
        <f>'m2'!N37</f>
        <v>943.80000000000007</v>
      </c>
      <c r="H151" s="147" t="e">
        <f>+'m2'!#REF!</f>
        <v>#REF!</v>
      </c>
      <c r="I151" s="147" t="e">
        <f>+'m2'!#REF!</f>
        <v>#REF!</v>
      </c>
      <c r="J151" s="143" t="e">
        <f>+'m2'!#REF!</f>
        <v>#REF!</v>
      </c>
      <c r="K151" s="143" t="e">
        <f>SUM(I151:J151)</f>
        <v>#REF!</v>
      </c>
      <c r="L151" s="227">
        <f>'m2'!AJ37</f>
        <v>349.20000000000005</v>
      </c>
      <c r="M151" s="227"/>
      <c r="N151" s="227">
        <f>'m2'!AL37</f>
        <v>349.20000000000005</v>
      </c>
    </row>
    <row r="152" spans="3:14">
      <c r="C152" s="95" t="s">
        <v>95</v>
      </c>
      <c r="D152" s="96" t="s">
        <v>11</v>
      </c>
      <c r="E152" s="124"/>
      <c r="F152" s="124"/>
      <c r="G152" s="124"/>
      <c r="H152" s="147"/>
      <c r="I152" s="147"/>
      <c r="J152" s="143"/>
      <c r="K152" s="122"/>
      <c r="L152" s="227"/>
      <c r="M152" s="227"/>
      <c r="N152" s="227"/>
    </row>
    <row r="153" spans="3:14">
      <c r="C153" s="95" t="s">
        <v>138</v>
      </c>
      <c r="D153" s="96" t="s">
        <v>11</v>
      </c>
      <c r="E153" s="124">
        <f>'m2'!L39</f>
        <v>4116.2041479999998</v>
      </c>
      <c r="F153" s="124">
        <f>'m2'!M39</f>
        <v>62.414999999999999</v>
      </c>
      <c r="G153" s="124">
        <f>'m2'!N39</f>
        <v>4178.6191479999998</v>
      </c>
      <c r="H153" s="143"/>
      <c r="I153" s="143"/>
      <c r="J153" s="143" t="e">
        <f>+'m2'!#REF!</f>
        <v>#REF!</v>
      </c>
      <c r="K153" s="122" t="e">
        <f t="shared" ref="K153" si="21">SUM(I153:J153)</f>
        <v>#REF!</v>
      </c>
      <c r="L153" s="227">
        <f>'m2'!AJ39</f>
        <v>5364.2762145966635</v>
      </c>
      <c r="M153" s="227">
        <f>'m2'!AK39</f>
        <v>370.20881298896967</v>
      </c>
      <c r="N153" s="227">
        <f>'m2'!AL39</f>
        <v>5734.4850275856334</v>
      </c>
    </row>
    <row r="154" spans="3:14">
      <c r="C154" s="95" t="s">
        <v>93</v>
      </c>
      <c r="D154" s="96" t="s">
        <v>11</v>
      </c>
      <c r="E154" s="124">
        <f>'m2'!L40</f>
        <v>616.70400000000006</v>
      </c>
      <c r="F154" s="124">
        <f>'m2'!M40</f>
        <v>23.432999999999996</v>
      </c>
      <c r="G154" s="124">
        <f>'m2'!N40</f>
        <v>640.13700000000006</v>
      </c>
      <c r="H154" s="143"/>
      <c r="I154" s="143"/>
      <c r="J154" s="143"/>
      <c r="K154" s="122"/>
      <c r="L154" s="227"/>
      <c r="M154" s="227"/>
      <c r="N154" s="227"/>
    </row>
    <row r="155" spans="3:14">
      <c r="C155" s="95" t="s">
        <v>14</v>
      </c>
      <c r="D155" s="96" t="s">
        <v>11</v>
      </c>
      <c r="E155" s="124"/>
      <c r="F155" s="124"/>
      <c r="G155" s="124"/>
      <c r="H155" s="143"/>
      <c r="I155" s="143"/>
      <c r="J155" s="143"/>
      <c r="K155" s="122"/>
      <c r="L155" s="227">
        <f>'m2'!AJ40</f>
        <v>-59.883403795753807</v>
      </c>
      <c r="M155" s="227">
        <f>'m2'!AK40</f>
        <v>1214.0795943449186</v>
      </c>
      <c r="N155" s="227">
        <f>'m2'!AL40</f>
        <v>1154.1961905491648</v>
      </c>
    </row>
    <row r="156" spans="3:14">
      <c r="C156" s="95" t="s">
        <v>98</v>
      </c>
      <c r="D156" s="96" t="s">
        <v>11</v>
      </c>
      <c r="E156" s="124">
        <f>'m2'!L41</f>
        <v>-55.406999999999996</v>
      </c>
      <c r="F156" s="124">
        <f>'m2'!M41</f>
        <v>11912.979976656034</v>
      </c>
      <c r="G156" s="124">
        <f>'m2'!N41</f>
        <v>11857.572976656034</v>
      </c>
      <c r="H156" s="125" t="e">
        <f>I156/$D$6</f>
        <v>#REF!</v>
      </c>
      <c r="I156" s="143" t="e">
        <f>+'m2'!#REF!</f>
        <v>#REF!</v>
      </c>
      <c r="J156" s="143" t="e">
        <f>+'m2'!#REF!</f>
        <v>#REF!</v>
      </c>
      <c r="K156" s="122" t="e">
        <f t="shared" ref="K156" si="22">SUM(I156:J156)</f>
        <v>#REF!</v>
      </c>
      <c r="L156" s="227">
        <f>'m2'!AJ41</f>
        <v>102.54799109418887</v>
      </c>
      <c r="M156" s="227">
        <f>'m2'!AK41</f>
        <v>10410.807814229202</v>
      </c>
      <c r="N156" s="227">
        <f>'m2'!AL41</f>
        <v>10513.35580532339</v>
      </c>
    </row>
    <row r="157" spans="3:14">
      <c r="C157" s="103" t="s">
        <v>16</v>
      </c>
      <c r="D157" s="396" t="s">
        <v>11</v>
      </c>
      <c r="E157" s="402">
        <f>'m2'!L42</f>
        <v>5621.3011479999996</v>
      </c>
      <c r="F157" s="402">
        <f>'m2'!M42</f>
        <v>11998.827976656034</v>
      </c>
      <c r="G157" s="402">
        <f>'m2'!N42</f>
        <v>17620.129124656036</v>
      </c>
      <c r="H157" s="144"/>
      <c r="I157" s="144" t="e">
        <f>SUM(I151:I156)</f>
        <v>#REF!</v>
      </c>
      <c r="J157" s="144" t="e">
        <f>SUM(J151:J156)</f>
        <v>#REF!</v>
      </c>
      <c r="K157" s="145" t="e">
        <f>SUM(K151:K156)</f>
        <v>#REF!</v>
      </c>
      <c r="L157" s="249">
        <f>'m2'!AJ42</f>
        <v>5756.1408018950979</v>
      </c>
      <c r="M157" s="249">
        <f>'m2'!AK42</f>
        <v>11995.09622156309</v>
      </c>
      <c r="N157" s="249">
        <f>'m2'!AL42</f>
        <v>17751.23702345819</v>
      </c>
    </row>
    <row r="158" spans="3:14">
      <c r="C158" s="395" t="s">
        <v>24</v>
      </c>
      <c r="D158" s="231"/>
      <c r="E158" s="232"/>
      <c r="F158" s="232"/>
      <c r="G158" s="398"/>
      <c r="H158" s="232"/>
      <c r="I158" s="232"/>
      <c r="J158" s="233"/>
      <c r="K158" s="135" t="e">
        <f>+K157/#REF!</f>
        <v>#REF!</v>
      </c>
      <c r="L158" s="444"/>
      <c r="M158" s="445"/>
      <c r="N158" s="135">
        <f>+N157/$G157</f>
        <v>1.0074408023842853</v>
      </c>
    </row>
    <row r="159" spans="3:14" ht="15.75">
      <c r="C159" s="93" t="s">
        <v>17</v>
      </c>
      <c r="M159" s="146"/>
    </row>
    <row r="160" spans="3:14">
      <c r="C160" s="108" t="s">
        <v>63</v>
      </c>
      <c r="D160" s="241">
        <v>60000</v>
      </c>
      <c r="E160" s="446" t="s">
        <v>136</v>
      </c>
      <c r="F160" s="446"/>
      <c r="G160" s="446"/>
      <c r="H160" s="411"/>
      <c r="I160" s="411"/>
      <c r="J160" s="411"/>
      <c r="K160" s="411"/>
      <c r="L160" s="447" t="s">
        <v>142</v>
      </c>
      <c r="M160" s="448"/>
      <c r="N160" s="449"/>
    </row>
    <row r="161" spans="3:14">
      <c r="C161" s="103" t="s">
        <v>64</v>
      </c>
      <c r="D161" s="242">
        <v>613.41785859254946</v>
      </c>
      <c r="E161" s="446"/>
      <c r="F161" s="446"/>
      <c r="G161" s="446"/>
      <c r="H161" s="411"/>
      <c r="I161" s="411"/>
      <c r="J161" s="411"/>
      <c r="K161" s="411"/>
      <c r="L161" s="450"/>
      <c r="M161" s="451"/>
      <c r="N161" s="452"/>
    </row>
    <row r="162" spans="3:14" ht="45">
      <c r="C162" s="103"/>
      <c r="D162" s="242"/>
      <c r="E162" s="389" t="s">
        <v>60</v>
      </c>
      <c r="F162" s="390" t="s">
        <v>61</v>
      </c>
      <c r="G162" s="389" t="s">
        <v>62</v>
      </c>
      <c r="H162" s="234" t="s">
        <v>4</v>
      </c>
      <c r="I162" s="234" t="s">
        <v>5</v>
      </c>
      <c r="J162" s="235" t="s">
        <v>2</v>
      </c>
      <c r="K162" s="388" t="s">
        <v>6</v>
      </c>
      <c r="L162" s="389" t="s">
        <v>60</v>
      </c>
      <c r="M162" s="390" t="s">
        <v>61</v>
      </c>
      <c r="N162" s="389" t="s">
        <v>62</v>
      </c>
    </row>
    <row r="163" spans="3:14">
      <c r="C163" s="95" t="s">
        <v>94</v>
      </c>
      <c r="D163" s="96" t="s">
        <v>11</v>
      </c>
      <c r="E163" s="124">
        <f>'m2'!L25</f>
        <v>943.80000000000007</v>
      </c>
      <c r="F163" s="124"/>
      <c r="G163" s="124">
        <f>'m2'!N25</f>
        <v>943.80000000000007</v>
      </c>
      <c r="H163" s="147" t="e">
        <f>+'m2'!#REF!</f>
        <v>#REF!</v>
      </c>
      <c r="I163" s="147" t="e">
        <f>+'m2'!#REF!</f>
        <v>#REF!</v>
      </c>
      <c r="J163" s="143" t="e">
        <f>+'m2'!#REF!</f>
        <v>#REF!</v>
      </c>
      <c r="K163" s="143" t="e">
        <f>SUM(I163:J163)</f>
        <v>#REF!</v>
      </c>
      <c r="L163" s="227">
        <f>'m2'!AJ25</f>
        <v>349.20000000000005</v>
      </c>
      <c r="M163" s="227"/>
      <c r="N163" s="227">
        <f>'m2'!AL25</f>
        <v>349.20000000000005</v>
      </c>
    </row>
    <row r="164" spans="3:14">
      <c r="C164" s="95" t="s">
        <v>95</v>
      </c>
      <c r="D164" s="96" t="s">
        <v>11</v>
      </c>
      <c r="E164" s="124"/>
      <c r="F164" s="124"/>
      <c r="G164" s="124"/>
      <c r="H164" s="147"/>
      <c r="I164" s="147"/>
      <c r="J164" s="143"/>
      <c r="K164" s="122"/>
      <c r="L164" s="227"/>
      <c r="M164" s="227"/>
      <c r="N164" s="227"/>
    </row>
    <row r="165" spans="3:14">
      <c r="C165" s="95" t="s">
        <v>138</v>
      </c>
      <c r="D165" s="96" t="s">
        <v>11</v>
      </c>
      <c r="E165" s="124">
        <f>'m2'!L27</f>
        <v>3403.1245599999997</v>
      </c>
      <c r="F165" s="124">
        <f>'m2'!M27</f>
        <v>51.3</v>
      </c>
      <c r="G165" s="124">
        <f>'m2'!N27</f>
        <v>3454.4245599999999</v>
      </c>
      <c r="H165" s="143"/>
      <c r="I165" s="143"/>
      <c r="J165" s="143" t="e">
        <f>+'m2'!#REF!</f>
        <v>#REF!</v>
      </c>
      <c r="K165" s="122" t="e">
        <f t="shared" ref="K165" si="23">SUM(I165:J165)</f>
        <v>#REF!</v>
      </c>
      <c r="L165" s="227">
        <f>'m2'!AJ27</f>
        <v>4408.9941489835592</v>
      </c>
      <c r="M165" s="227">
        <f>'m2'!AK27</f>
        <v>304.28121615531751</v>
      </c>
      <c r="N165" s="227">
        <f>'m2'!AL27</f>
        <v>4713.2753651388766</v>
      </c>
    </row>
    <row r="166" spans="3:14">
      <c r="C166" s="95" t="s">
        <v>93</v>
      </c>
      <c r="D166" s="96" t="s">
        <v>11</v>
      </c>
      <c r="E166" s="124">
        <f>'m2'!L28</f>
        <v>506.88000000000005</v>
      </c>
      <c r="F166" s="124">
        <f>'m2'!M28</f>
        <v>19.259999999999998</v>
      </c>
      <c r="G166" s="124">
        <f>'m2'!N28</f>
        <v>526.1400000000001</v>
      </c>
      <c r="H166" s="143"/>
      <c r="I166" s="143"/>
      <c r="J166" s="143"/>
      <c r="K166" s="122"/>
      <c r="L166" s="227"/>
      <c r="M166" s="227"/>
      <c r="N166" s="227"/>
    </row>
    <row r="167" spans="3:14">
      <c r="C167" s="95" t="s">
        <v>14</v>
      </c>
      <c r="D167" s="96" t="s">
        <v>11</v>
      </c>
      <c r="E167" s="124"/>
      <c r="F167" s="124"/>
      <c r="G167" s="124"/>
      <c r="H167" s="143"/>
      <c r="I167" s="143"/>
      <c r="J167" s="143"/>
      <c r="K167" s="122"/>
      <c r="L167" s="227">
        <f>'m2'!AJ28</f>
        <v>-49.21923599650998</v>
      </c>
      <c r="M167" s="227">
        <f>'m2'!AK28</f>
        <v>997.87363918760434</v>
      </c>
      <c r="N167" s="227">
        <f>'m2'!AL28</f>
        <v>948.65440319109439</v>
      </c>
    </row>
    <row r="168" spans="3:14">
      <c r="C168" s="95" t="s">
        <v>98</v>
      </c>
      <c r="D168" s="96" t="s">
        <v>11</v>
      </c>
      <c r="E168" s="124">
        <f>'m2'!L29</f>
        <v>-45.539999999999992</v>
      </c>
      <c r="F168" s="124">
        <f>'m2'!M29</f>
        <v>9791.4903917720821</v>
      </c>
      <c r="G168" s="124">
        <f>'m2'!N29</f>
        <v>9745.9503917720813</v>
      </c>
      <c r="H168" s="125" t="e">
        <f>I168/$D$18</f>
        <v>#REF!</v>
      </c>
      <c r="I168" s="143" t="e">
        <f>+'m2'!#REF!</f>
        <v>#REF!</v>
      </c>
      <c r="J168" s="143" t="e">
        <f>+'m2'!#REF!</f>
        <v>#REF!</v>
      </c>
      <c r="K168" s="122" t="e">
        <f t="shared" ref="K168" si="24">SUM(I168:J168)</f>
        <v>#REF!</v>
      </c>
      <c r="L168" s="227">
        <f>'m2'!AJ29</f>
        <v>84.286020077415515</v>
      </c>
      <c r="M168" s="227">
        <f>'m2'!AK29</f>
        <v>8556.828340462358</v>
      </c>
      <c r="N168" s="227">
        <f>'m2'!AL29</f>
        <v>8641.1143605397738</v>
      </c>
    </row>
    <row r="169" spans="3:14">
      <c r="C169" s="103" t="s">
        <v>16</v>
      </c>
      <c r="D169" s="396" t="s">
        <v>11</v>
      </c>
      <c r="E169" s="402">
        <f>'m2'!L30</f>
        <v>4808.2645599999996</v>
      </c>
      <c r="F169" s="402">
        <f>'m2'!M30</f>
        <v>9862.0503917720816</v>
      </c>
      <c r="G169" s="402">
        <f>'m2'!N30</f>
        <v>14670.314951772081</v>
      </c>
      <c r="H169" s="144"/>
      <c r="I169" s="144" t="e">
        <f>SUM(I163:I168)</f>
        <v>#REF!</v>
      </c>
      <c r="J169" s="144" t="e">
        <f>SUM(J163:J168)</f>
        <v>#REF!</v>
      </c>
      <c r="K169" s="145" t="e">
        <f>SUM(K163:K168)</f>
        <v>#REF!</v>
      </c>
      <c r="L169" s="249">
        <f>'m2'!AJ30</f>
        <v>4793.2609330644646</v>
      </c>
      <c r="M169" s="249">
        <f>'m2'!AK30</f>
        <v>9858.98319580528</v>
      </c>
      <c r="N169" s="249">
        <f>'m2'!AL30</f>
        <v>14652.244128869745</v>
      </c>
    </row>
    <row r="170" spans="3:14">
      <c r="C170" s="395" t="s">
        <v>24</v>
      </c>
      <c r="D170" s="231"/>
      <c r="E170" s="232"/>
      <c r="F170" s="232"/>
      <c r="G170" s="398"/>
      <c r="H170" s="232"/>
      <c r="I170" s="232"/>
      <c r="J170" s="233"/>
      <c r="K170" s="135" t="e">
        <f>+K169/#REF!</f>
        <v>#REF!</v>
      </c>
      <c r="L170" s="444"/>
      <c r="M170" s="445"/>
      <c r="N170" s="135">
        <f>+N169/$G169</f>
        <v>0.99876820484347173</v>
      </c>
    </row>
    <row r="171" spans="3:14" ht="15.75">
      <c r="C171" s="93" t="s">
        <v>18</v>
      </c>
    </row>
    <row r="172" spans="3:14">
      <c r="C172" s="108" t="s">
        <v>63</v>
      </c>
      <c r="D172" s="241">
        <v>250000</v>
      </c>
      <c r="E172" s="446" t="s">
        <v>136</v>
      </c>
      <c r="F172" s="446"/>
      <c r="G172" s="446"/>
      <c r="H172" s="411"/>
      <c r="I172" s="411"/>
      <c r="J172" s="411"/>
      <c r="K172" s="411"/>
      <c r="L172" s="447" t="s">
        <v>142</v>
      </c>
      <c r="M172" s="448"/>
      <c r="N172" s="449"/>
    </row>
    <row r="173" spans="3:14">
      <c r="C173" s="103" t="s">
        <v>64</v>
      </c>
      <c r="D173" s="242">
        <v>2555.907744135623</v>
      </c>
      <c r="E173" s="446"/>
      <c r="F173" s="446"/>
      <c r="G173" s="446"/>
      <c r="H173" s="411"/>
      <c r="I173" s="411"/>
      <c r="J173" s="411"/>
      <c r="K173" s="411"/>
      <c r="L173" s="450"/>
      <c r="M173" s="451"/>
      <c r="N173" s="452"/>
    </row>
    <row r="174" spans="3:14" ht="45">
      <c r="C174" s="103"/>
      <c r="D174" s="242"/>
      <c r="E174" s="389" t="s">
        <v>60</v>
      </c>
      <c r="F174" s="390" t="s">
        <v>61</v>
      </c>
      <c r="G174" s="389" t="s">
        <v>62</v>
      </c>
      <c r="H174" s="234" t="s">
        <v>4</v>
      </c>
      <c r="I174" s="234" t="s">
        <v>5</v>
      </c>
      <c r="J174" s="235" t="s">
        <v>2</v>
      </c>
      <c r="K174" s="388" t="s">
        <v>6</v>
      </c>
      <c r="L174" s="389" t="s">
        <v>60</v>
      </c>
      <c r="M174" s="390" t="s">
        <v>61</v>
      </c>
      <c r="N174" s="389" t="s">
        <v>62</v>
      </c>
    </row>
    <row r="175" spans="3:14">
      <c r="C175" s="95" t="s">
        <v>94</v>
      </c>
      <c r="D175" s="96" t="s">
        <v>11</v>
      </c>
      <c r="E175" s="124">
        <f>'m2'!L49</f>
        <v>943.80000000000007</v>
      </c>
      <c r="F175" s="124"/>
      <c r="G175" s="124">
        <f>'m2'!N49</f>
        <v>943.80000000000007</v>
      </c>
      <c r="H175" s="147" t="e">
        <f>+'m2'!#REF!</f>
        <v>#REF!</v>
      </c>
      <c r="I175" s="147" t="e">
        <f>+'m2'!#REF!</f>
        <v>#REF!</v>
      </c>
      <c r="J175" s="143" t="e">
        <f>+'m2'!#REF!</f>
        <v>#REF!</v>
      </c>
      <c r="K175" s="143" t="e">
        <f>SUM(I175:J175)</f>
        <v>#REF!</v>
      </c>
      <c r="L175" s="227">
        <f>'m2'!AJ49</f>
        <v>349.20000000000005</v>
      </c>
      <c r="M175" s="227"/>
      <c r="N175" s="227">
        <f>'m2'!AL49</f>
        <v>349.20000000000005</v>
      </c>
    </row>
    <row r="176" spans="3:14">
      <c r="C176" s="95" t="s">
        <v>95</v>
      </c>
      <c r="D176" s="96" t="s">
        <v>11</v>
      </c>
      <c r="E176" s="124"/>
      <c r="F176" s="124"/>
      <c r="G176" s="124"/>
      <c r="H176" s="147"/>
      <c r="I176" s="147"/>
      <c r="J176" s="143"/>
      <c r="K176" s="122"/>
      <c r="L176" s="227"/>
      <c r="M176" s="227"/>
      <c r="N176" s="227"/>
    </row>
    <row r="177" spans="3:30">
      <c r="C177" s="95" t="s">
        <v>138</v>
      </c>
      <c r="D177" s="96" t="s">
        <v>11</v>
      </c>
      <c r="E177" s="124">
        <f>'m2'!L51</f>
        <v>13376.153999999999</v>
      </c>
      <c r="F177" s="124">
        <f>'m2'!M51</f>
        <v>213.75</v>
      </c>
      <c r="G177" s="124">
        <f>'m2'!N51</f>
        <v>13589.903999999999</v>
      </c>
      <c r="H177" s="143"/>
      <c r="I177" s="143"/>
      <c r="J177" s="143" t="e">
        <f>+'m2'!#REF!</f>
        <v>#REF!</v>
      </c>
      <c r="K177" s="122" t="e">
        <f t="shared" ref="K177" si="25">SUM(I177:J177)</f>
        <v>#REF!</v>
      </c>
      <c r="L177" s="227">
        <f>'m2'!AJ51</f>
        <v>18370.808954098164</v>
      </c>
      <c r="M177" s="227">
        <f>'m2'!AK51</f>
        <v>1267.8384006471563</v>
      </c>
      <c r="N177" s="227">
        <f>'m2'!AL51</f>
        <v>19638.647354745321</v>
      </c>
    </row>
    <row r="178" spans="3:30">
      <c r="C178" s="95" t="s">
        <v>93</v>
      </c>
      <c r="D178" s="96" t="s">
        <v>11</v>
      </c>
      <c r="E178" s="124">
        <f>'m2'!L52</f>
        <v>2112</v>
      </c>
      <c r="F178" s="124">
        <f>'m2'!M52</f>
        <v>80.249999999999986</v>
      </c>
      <c r="G178" s="124">
        <f>'m2'!N52</f>
        <v>2192.25</v>
      </c>
      <c r="H178" s="143"/>
      <c r="I178" s="143"/>
      <c r="J178" s="143"/>
      <c r="K178" s="122"/>
      <c r="L178" s="227"/>
      <c r="M178" s="227"/>
      <c r="N178" s="227"/>
    </row>
    <row r="179" spans="3:30">
      <c r="C179" s="95" t="s">
        <v>14</v>
      </c>
      <c r="D179" s="96" t="s">
        <v>11</v>
      </c>
      <c r="E179" s="124"/>
      <c r="F179" s="124"/>
      <c r="G179" s="124"/>
      <c r="H179" s="143"/>
      <c r="I179" s="143"/>
      <c r="J179" s="143"/>
      <c r="K179" s="122"/>
      <c r="L179" s="227">
        <f>'m2'!AJ52</f>
        <v>-205.08014998545826</v>
      </c>
      <c r="M179" s="227">
        <f>'m2'!AK52</f>
        <v>4157.8068299483512</v>
      </c>
      <c r="N179" s="227">
        <f>'m2'!AL52</f>
        <v>3952.7266799628928</v>
      </c>
    </row>
    <row r="180" spans="3:30">
      <c r="C180" s="95" t="s">
        <v>98</v>
      </c>
      <c r="D180" s="96" t="s">
        <v>11</v>
      </c>
      <c r="E180" s="124">
        <f>'m2'!L53</f>
        <v>-189.74999999999997</v>
      </c>
      <c r="F180" s="124">
        <f>'m2'!M53</f>
        <v>40797.876632383675</v>
      </c>
      <c r="G180" s="124">
        <f>'m2'!N53</f>
        <v>40608.126632383675</v>
      </c>
      <c r="H180" s="125" t="e">
        <f>I180/$D$30</f>
        <v>#REF!</v>
      </c>
      <c r="I180" s="143" t="e">
        <f>+'m2'!#REF!</f>
        <v>#REF!</v>
      </c>
      <c r="J180" s="143" t="e">
        <f>+'m2'!#REF!</f>
        <v>#REF!</v>
      </c>
      <c r="K180" s="122" t="e">
        <f t="shared" ref="K180" si="26">SUM(I180:J180)</f>
        <v>#REF!</v>
      </c>
      <c r="L180" s="227">
        <f>'m2'!AJ53</f>
        <v>351.19175032256464</v>
      </c>
      <c r="M180" s="227">
        <f>'m2'!AK53</f>
        <v>35653.451418593155</v>
      </c>
      <c r="N180" s="227">
        <f>'m2'!AL53</f>
        <v>36004.643168915718</v>
      </c>
    </row>
    <row r="181" spans="3:30">
      <c r="C181" s="103" t="s">
        <v>16</v>
      </c>
      <c r="D181" s="396" t="s">
        <v>11</v>
      </c>
      <c r="E181" s="402">
        <f>'m2'!L54</f>
        <v>16242.203999999998</v>
      </c>
      <c r="F181" s="402">
        <f>'m2'!M54</f>
        <v>41091.876632383675</v>
      </c>
      <c r="G181" s="402">
        <f>'m2'!N54</f>
        <v>57334.080632383673</v>
      </c>
      <c r="H181" s="144"/>
      <c r="I181" s="144" t="e">
        <f>SUM(I175:I180)</f>
        <v>#REF!</v>
      </c>
      <c r="J181" s="144" t="e">
        <f>SUM(J175:J180)</f>
        <v>#REF!</v>
      </c>
      <c r="K181" s="145" t="e">
        <f>SUM(K175:K180)</f>
        <v>#REF!</v>
      </c>
      <c r="L181" s="249">
        <f>'m2'!AJ54</f>
        <v>18866.120554435271</v>
      </c>
      <c r="M181" s="249">
        <f>'m2'!AK54</f>
        <v>41079.096649188665</v>
      </c>
      <c r="N181" s="249">
        <f>'m2'!AL54</f>
        <v>59945.217203623935</v>
      </c>
    </row>
    <row r="182" spans="3:30">
      <c r="C182" s="395" t="s">
        <v>24</v>
      </c>
      <c r="D182" s="231"/>
      <c r="E182" s="232"/>
      <c r="F182" s="232"/>
      <c r="G182" s="398"/>
      <c r="H182" s="232"/>
      <c r="I182" s="232"/>
      <c r="J182" s="233"/>
      <c r="K182" s="135" t="e">
        <f>+K181/#REF!</f>
        <v>#REF!</v>
      </c>
      <c r="L182" s="444"/>
      <c r="M182" s="445"/>
      <c r="N182" s="135">
        <f>N181/G181</f>
        <v>1.0455424861171565</v>
      </c>
    </row>
    <row r="189" spans="3:30" ht="15" hidden="1" customHeight="1">
      <c r="W189" s="114" t="s">
        <v>28</v>
      </c>
      <c r="X189" s="459"/>
      <c r="Y189" s="460"/>
      <c r="Z189" s="460"/>
      <c r="AA189" s="460"/>
      <c r="AB189" s="460"/>
      <c r="AC189" s="461"/>
      <c r="AD189" s="462"/>
    </row>
    <row r="190" spans="3:30" ht="14.45" hidden="1" customHeight="1">
      <c r="W190" s="112" t="s">
        <v>29</v>
      </c>
      <c r="X190" s="110" t="e">
        <f>+#REF!</f>
        <v>#REF!</v>
      </c>
      <c r="Y190" s="111" t="e">
        <f>+N55</f>
        <v>#REF!</v>
      </c>
      <c r="Z190" s="111"/>
      <c r="AA190" s="111">
        <f>+N123</f>
        <v>0</v>
      </c>
      <c r="AB190" s="127" t="e">
        <f>+O55</f>
        <v>#REF!</v>
      </c>
      <c r="AC190" s="282"/>
      <c r="AD190" s="128">
        <f>+O123</f>
        <v>0</v>
      </c>
    </row>
    <row r="191" spans="3:30" ht="14.45" hidden="1" customHeight="1">
      <c r="W191" s="113" t="s">
        <v>30</v>
      </c>
      <c r="X191" s="109" t="e">
        <f>+#REF!</f>
        <v>#REF!</v>
      </c>
      <c r="Y191" s="99" t="e">
        <f>+N64</f>
        <v>#REF!</v>
      </c>
      <c r="Z191" s="99"/>
      <c r="AA191" s="99">
        <f>+N132</f>
        <v>0</v>
      </c>
      <c r="AB191" s="129" t="e">
        <f>+O64</f>
        <v>#REF!</v>
      </c>
      <c r="AC191" s="283"/>
      <c r="AD191" s="130">
        <f>+O132</f>
        <v>0</v>
      </c>
    </row>
    <row r="192" spans="3:30" ht="15" hidden="1" customHeight="1">
      <c r="W192" s="115" t="s">
        <v>31</v>
      </c>
      <c r="X192" s="116" t="e">
        <f>+#REF!</f>
        <v>#REF!</v>
      </c>
      <c r="Y192" s="117" t="e">
        <f>+N74</f>
        <v>#REF!</v>
      </c>
      <c r="Z192" s="117"/>
      <c r="AA192" s="117">
        <f>+N142</f>
        <v>0</v>
      </c>
      <c r="AB192" s="131" t="e">
        <f>+O74</f>
        <v>#REF!</v>
      </c>
      <c r="AC192" s="284"/>
      <c r="AD192" s="132">
        <f>+O142</f>
        <v>0</v>
      </c>
    </row>
    <row r="193" spans="3:14">
      <c r="C193" s="275" t="s">
        <v>145</v>
      </c>
    </row>
    <row r="194" spans="3:14" ht="15" customHeight="1">
      <c r="C194" s="245" t="s">
        <v>7</v>
      </c>
      <c r="D194" s="241">
        <f>'m1'!F25</f>
        <v>2200</v>
      </c>
      <c r="E194" s="446" t="s">
        <v>136</v>
      </c>
      <c r="F194" s="446"/>
      <c r="G194" s="446"/>
      <c r="L194" s="447" t="s">
        <v>137</v>
      </c>
      <c r="M194" s="448"/>
      <c r="N194" s="449"/>
    </row>
    <row r="195" spans="3:14">
      <c r="C195" s="103" t="s">
        <v>9</v>
      </c>
      <c r="D195" s="247">
        <f>'m1'!F26</f>
        <v>20.047924054829341</v>
      </c>
      <c r="E195" s="446"/>
      <c r="F195" s="446"/>
      <c r="G195" s="446"/>
      <c r="H195" s="236"/>
      <c r="K195" s="237"/>
      <c r="L195" s="450"/>
      <c r="M195" s="451"/>
      <c r="N195" s="452"/>
    </row>
    <row r="196" spans="3:14" ht="45">
      <c r="C196" s="103"/>
      <c r="D196" s="247"/>
      <c r="E196" s="389" t="s">
        <v>60</v>
      </c>
      <c r="F196" s="390" t="s">
        <v>61</v>
      </c>
      <c r="G196" s="389" t="s">
        <v>62</v>
      </c>
      <c r="H196" s="391" t="s">
        <v>4</v>
      </c>
      <c r="I196" s="391" t="s">
        <v>5</v>
      </c>
      <c r="J196" s="392" t="s">
        <v>2</v>
      </c>
      <c r="K196" s="393" t="s">
        <v>6</v>
      </c>
      <c r="L196" s="389" t="s">
        <v>60</v>
      </c>
      <c r="M196" s="390" t="s">
        <v>61</v>
      </c>
      <c r="N196" s="389" t="s">
        <v>62</v>
      </c>
    </row>
    <row r="197" spans="3:14">
      <c r="C197" s="95" t="s">
        <v>10</v>
      </c>
      <c r="D197" s="96" t="s">
        <v>11</v>
      </c>
      <c r="E197" s="97">
        <f>'m1'!$L$27</f>
        <v>310.20000000000005</v>
      </c>
      <c r="F197" s="97"/>
      <c r="G197" s="97">
        <f>'m1'!$N$27</f>
        <v>310.20000000000005</v>
      </c>
      <c r="H197" s="136" t="e">
        <f>+'R1'!#REF!</f>
        <v>#REF!</v>
      </c>
      <c r="I197" s="119" t="e">
        <f>+'R1'!#REF!</f>
        <v>#REF!</v>
      </c>
      <c r="J197" s="99" t="e">
        <f>+'R1'!#REF!</f>
        <v>#REF!</v>
      </c>
      <c r="K197" s="99" t="e">
        <f>SUM(I197:J197)</f>
        <v>#REF!</v>
      </c>
      <c r="L197" s="98">
        <f>'m1'!T27</f>
        <v>349.17132188263611</v>
      </c>
      <c r="M197" s="98"/>
      <c r="N197" s="98">
        <f>'m1'!V27</f>
        <v>349.17132188263611</v>
      </c>
    </row>
    <row r="198" spans="3:14">
      <c r="C198" s="95" t="s">
        <v>95</v>
      </c>
      <c r="D198" s="96" t="s">
        <v>11</v>
      </c>
      <c r="E198" s="97"/>
      <c r="F198" s="97"/>
      <c r="G198" s="97"/>
      <c r="H198" s="136"/>
      <c r="I198" s="119"/>
      <c r="J198" s="99"/>
      <c r="K198" s="99"/>
      <c r="L198" s="98">
        <f>'m1'!T28</f>
        <v>145.26147947461919</v>
      </c>
      <c r="M198" s="98">
        <f>'m1'!U28</f>
        <v>0.94268376071153881</v>
      </c>
      <c r="N198" s="98">
        <f>'m1'!V28</f>
        <v>146.20416323533073</v>
      </c>
    </row>
    <row r="199" spans="3:14">
      <c r="C199" s="95" t="s">
        <v>138</v>
      </c>
      <c r="D199" s="96" t="s">
        <v>11</v>
      </c>
      <c r="E199" s="363">
        <f>'m1'!$L$29</f>
        <v>119.433324</v>
      </c>
      <c r="F199" s="363">
        <f>'m1'!$M$29</f>
        <v>2.7873999999999999</v>
      </c>
      <c r="G199" s="363">
        <f>'m1'!$N$29</f>
        <v>122.220724</v>
      </c>
      <c r="H199" s="101"/>
      <c r="I199" s="101"/>
      <c r="J199" s="99" t="e">
        <f>+'R1'!#REF!</f>
        <v>#REF!</v>
      </c>
      <c r="K199" s="99" t="e">
        <f t="shared" ref="K199:K202" si="27">SUM(I199:J199)</f>
        <v>#REF!</v>
      </c>
      <c r="L199" s="98">
        <f>'m1'!T29</f>
        <v>0</v>
      </c>
      <c r="M199" s="98">
        <f>'m1'!U29</f>
        <v>8.6206110746322846</v>
      </c>
      <c r="N199" s="98">
        <f>'m1'!V29</f>
        <v>8.6206110746322846</v>
      </c>
    </row>
    <row r="200" spans="3:14">
      <c r="C200" s="95" t="s">
        <v>93</v>
      </c>
      <c r="D200" s="96" t="s">
        <v>11</v>
      </c>
      <c r="E200" s="363">
        <f>'m1'!$L$30</f>
        <v>19.6922</v>
      </c>
      <c r="F200" s="363">
        <f>'m1'!$M$30</f>
        <v>0.76780000000000004</v>
      </c>
      <c r="G200" s="363">
        <f>SUM(E200:F200)</f>
        <v>20.46</v>
      </c>
      <c r="H200" s="101"/>
      <c r="I200" s="101"/>
      <c r="J200" s="99" t="e">
        <f>+'R1'!#REF!</f>
        <v>#REF!</v>
      </c>
      <c r="K200" s="99" t="e">
        <f t="shared" si="27"/>
        <v>#REF!</v>
      </c>
      <c r="L200" s="98"/>
      <c r="M200" s="98"/>
      <c r="N200" s="98"/>
    </row>
    <row r="201" spans="3:14">
      <c r="C201" s="95" t="s">
        <v>14</v>
      </c>
      <c r="D201" s="96" t="s">
        <v>11</v>
      </c>
      <c r="E201" s="363"/>
      <c r="F201" s="363"/>
      <c r="G201" s="363"/>
      <c r="H201" s="101"/>
      <c r="I201" s="101"/>
      <c r="J201" s="99" t="e">
        <f>+'R1'!#REF!</f>
        <v>#REF!</v>
      </c>
      <c r="K201" s="99" t="e">
        <f t="shared" si="27"/>
        <v>#REF!</v>
      </c>
      <c r="L201" s="98">
        <f>'m1'!T30</f>
        <v>-1.9029784741519771</v>
      </c>
      <c r="M201" s="98">
        <f>'m1'!U30</f>
        <v>40.587493906709774</v>
      </c>
      <c r="N201" s="98">
        <f>'m1'!V30</f>
        <v>38.684515432557795</v>
      </c>
    </row>
    <row r="202" spans="3:14">
      <c r="C202" s="95" t="s">
        <v>15</v>
      </c>
      <c r="D202" s="96" t="s">
        <v>11</v>
      </c>
      <c r="E202" s="363">
        <f>'m1'!$L$31</f>
        <v>-1.6697999999999997</v>
      </c>
      <c r="F202" s="363">
        <f>'m1'!$M$31</f>
        <v>359.02131436497638</v>
      </c>
      <c r="G202" s="363">
        <f>'m1'!$N$31</f>
        <v>357.35151436497637</v>
      </c>
      <c r="H202" s="100" t="e">
        <f>+I202/$D$77</f>
        <v>#REF!</v>
      </c>
      <c r="I202" s="99" t="e">
        <f>+'R1'!#REF!</f>
        <v>#REF!</v>
      </c>
      <c r="J202" s="99" t="e">
        <f>+'R1'!#REF!</f>
        <v>#REF!</v>
      </c>
      <c r="K202" s="99" t="e">
        <f t="shared" si="27"/>
        <v>#REF!</v>
      </c>
      <c r="L202" s="98">
        <f>'m1'!T31</f>
        <v>3.0904874028385678</v>
      </c>
      <c r="M202" s="98">
        <f>'m1'!U31</f>
        <v>313.75037248361986</v>
      </c>
      <c r="N202" s="98">
        <f>'m1'!V31</f>
        <v>316.84085988645842</v>
      </c>
    </row>
    <row r="203" spans="3:14">
      <c r="C203" s="103" t="s">
        <v>16</v>
      </c>
      <c r="D203" s="96" t="s">
        <v>11</v>
      </c>
      <c r="E203" s="376">
        <f>'m1'!$L$32</f>
        <v>447.65572400000002</v>
      </c>
      <c r="F203" s="376">
        <f>'m1'!$M$32</f>
        <v>362.57651436497639</v>
      </c>
      <c r="G203" s="376">
        <f>'m1'!$N$32</f>
        <v>810.23223836497641</v>
      </c>
      <c r="H203" s="101"/>
      <c r="I203" s="104" t="e">
        <f>SUM(I197:I202)</f>
        <v>#REF!</v>
      </c>
      <c r="J203" s="104" t="e">
        <f>SUM(J197:J202)</f>
        <v>#REF!</v>
      </c>
      <c r="K203" s="104" t="e">
        <f>SUM(K197:K202)</f>
        <v>#REF!</v>
      </c>
      <c r="L203" s="104">
        <f>'m1'!T32</f>
        <v>495.62031028594191</v>
      </c>
      <c r="M203" s="104">
        <f>'m1'!U32</f>
        <v>363.90116122567343</v>
      </c>
      <c r="N203" s="104">
        <f>'m1'!V32</f>
        <v>859.52147151161535</v>
      </c>
    </row>
    <row r="204" spans="3:14">
      <c r="C204" s="103" t="s">
        <v>24</v>
      </c>
      <c r="D204" s="231"/>
      <c r="E204" s="232"/>
      <c r="F204" s="232"/>
      <c r="G204" s="398"/>
      <c r="H204" s="232"/>
      <c r="I204" s="232"/>
      <c r="J204" s="233"/>
      <c r="K204" s="135" t="e">
        <f>+K203/#REF!</f>
        <v>#REF!</v>
      </c>
      <c r="L204" s="444"/>
      <c r="M204" s="445"/>
      <c r="N204" s="135">
        <f>N203/G203</f>
        <v>1.0608334633118315</v>
      </c>
    </row>
    <row r="207" spans="3:14" ht="15" customHeight="1">
      <c r="C207" s="245" t="s">
        <v>7</v>
      </c>
      <c r="D207" s="241">
        <f>'m1'!F25</f>
        <v>2200</v>
      </c>
      <c r="E207" s="446" t="s">
        <v>136</v>
      </c>
      <c r="F207" s="446"/>
      <c r="G207" s="446"/>
      <c r="L207" s="447" t="s">
        <v>140</v>
      </c>
      <c r="M207" s="448"/>
      <c r="N207" s="449"/>
    </row>
    <row r="208" spans="3:14">
      <c r="C208" s="103" t="s">
        <v>9</v>
      </c>
      <c r="D208" s="247">
        <f>'m1'!F26</f>
        <v>20.047924054829341</v>
      </c>
      <c r="E208" s="446"/>
      <c r="F208" s="446"/>
      <c r="G208" s="446"/>
      <c r="H208" s="236"/>
      <c r="K208" s="237"/>
      <c r="L208" s="450"/>
      <c r="M208" s="451"/>
      <c r="N208" s="452"/>
    </row>
    <row r="209" spans="3:15" ht="45">
      <c r="C209" s="103"/>
      <c r="D209" s="247"/>
      <c r="E209" s="389" t="s">
        <v>60</v>
      </c>
      <c r="F209" s="390" t="s">
        <v>61</v>
      </c>
      <c r="G209" s="389" t="s">
        <v>62</v>
      </c>
      <c r="H209" s="391" t="s">
        <v>4</v>
      </c>
      <c r="I209" s="391" t="s">
        <v>5</v>
      </c>
      <c r="J209" s="392" t="s">
        <v>2</v>
      </c>
      <c r="K209" s="393" t="s">
        <v>6</v>
      </c>
      <c r="L209" s="389" t="s">
        <v>60</v>
      </c>
      <c r="M209" s="390" t="s">
        <v>61</v>
      </c>
      <c r="N209" s="389" t="s">
        <v>62</v>
      </c>
    </row>
    <row r="210" spans="3:15">
      <c r="C210" s="95" t="s">
        <v>10</v>
      </c>
      <c r="D210" s="96" t="s">
        <v>11</v>
      </c>
      <c r="E210" s="97">
        <f>'m1'!$L$27</f>
        <v>310.20000000000005</v>
      </c>
      <c r="F210" s="97"/>
      <c r="G210" s="97">
        <f>'m1'!$N$27</f>
        <v>310.20000000000005</v>
      </c>
      <c r="H210" s="136" t="e">
        <f>+'R1'!#REF!</f>
        <v>#REF!</v>
      </c>
      <c r="I210" s="119" t="e">
        <f>+'R1'!#REF!</f>
        <v>#REF!</v>
      </c>
      <c r="J210" s="99" t="e">
        <f>+'R1'!#REF!</f>
        <v>#REF!</v>
      </c>
      <c r="K210" s="99" t="e">
        <f>SUM(I210:J210)</f>
        <v>#REF!</v>
      </c>
      <c r="L210" s="98">
        <f>'m1'!AB27</f>
        <v>520.27803420035798</v>
      </c>
      <c r="M210" s="98">
        <f>'m1'!AC27</f>
        <v>2.9179954545121554</v>
      </c>
      <c r="N210" s="98">
        <f>'m1'!AD27</f>
        <v>523.19602965487013</v>
      </c>
    </row>
    <row r="211" spans="3:15">
      <c r="C211" s="95" t="s">
        <v>95</v>
      </c>
      <c r="D211" s="96" t="s">
        <v>11</v>
      </c>
      <c r="E211" s="97"/>
      <c r="F211" s="97"/>
      <c r="G211" s="97"/>
      <c r="H211" s="136"/>
      <c r="I211" s="119"/>
      <c r="J211" s="99"/>
      <c r="K211" s="99"/>
      <c r="L211" s="98"/>
      <c r="M211" s="98"/>
      <c r="N211" s="98"/>
    </row>
    <row r="212" spans="3:15">
      <c r="C212" s="95" t="s">
        <v>138</v>
      </c>
      <c r="D212" s="96" t="s">
        <v>11</v>
      </c>
      <c r="E212" s="363">
        <f>'m1'!$L$29</f>
        <v>119.433324</v>
      </c>
      <c r="F212" s="363">
        <f>'m1'!$M$29</f>
        <v>2.7873999999999999</v>
      </c>
      <c r="G212" s="363">
        <f>'m1'!$N$29</f>
        <v>122.220724</v>
      </c>
      <c r="H212" s="101"/>
      <c r="I212" s="101"/>
      <c r="J212" s="99" t="e">
        <f>+'R1'!#REF!</f>
        <v>#REF!</v>
      </c>
      <c r="K212" s="99" t="e">
        <f t="shared" ref="K212:K215" si="28">SUM(I212:J212)</f>
        <v>#REF!</v>
      </c>
      <c r="L212" s="98">
        <f>'m1'!AB29</f>
        <v>0</v>
      </c>
      <c r="M212" s="98">
        <f>'m1'!AC29</f>
        <v>8.6206110746322846</v>
      </c>
      <c r="N212" s="98">
        <f>'m1'!AD29</f>
        <v>8.6206110746322846</v>
      </c>
    </row>
    <row r="213" spans="3:15">
      <c r="C213" s="95" t="s">
        <v>93</v>
      </c>
      <c r="D213" s="96" t="s">
        <v>11</v>
      </c>
      <c r="E213" s="363">
        <f>'m1'!$L$30</f>
        <v>19.6922</v>
      </c>
      <c r="F213" s="363">
        <f>'m1'!$M$30</f>
        <v>0.76780000000000004</v>
      </c>
      <c r="G213" s="363">
        <f>SUM(E213:F213)</f>
        <v>20.46</v>
      </c>
      <c r="H213" s="101"/>
      <c r="I213" s="101"/>
      <c r="J213" s="99" t="e">
        <f>+'R1'!#REF!</f>
        <v>#REF!</v>
      </c>
      <c r="K213" s="99" t="e">
        <f t="shared" si="28"/>
        <v>#REF!</v>
      </c>
      <c r="L213" s="98"/>
      <c r="M213" s="98"/>
      <c r="N213" s="98"/>
    </row>
    <row r="214" spans="3:15">
      <c r="C214" s="95" t="s">
        <v>14</v>
      </c>
      <c r="D214" s="96" t="s">
        <v>11</v>
      </c>
      <c r="E214" s="363"/>
      <c r="F214" s="363"/>
      <c r="G214" s="363"/>
      <c r="H214" s="101"/>
      <c r="I214" s="101"/>
      <c r="J214" s="99" t="e">
        <f>+'R1'!#REF!</f>
        <v>#REF!</v>
      </c>
      <c r="K214" s="99" t="e">
        <f t="shared" si="28"/>
        <v>#REF!</v>
      </c>
      <c r="L214" s="98">
        <f>'m1'!AB30</f>
        <v>-1.9029784741519771</v>
      </c>
      <c r="M214" s="98">
        <f>'m1'!AC30</f>
        <v>40.587493906709774</v>
      </c>
      <c r="N214" s="98">
        <f>'m1'!AD30</f>
        <v>38.684515432557795</v>
      </c>
    </row>
    <row r="215" spans="3:15">
      <c r="C215" s="95" t="s">
        <v>15</v>
      </c>
      <c r="D215" s="96" t="s">
        <v>11</v>
      </c>
      <c r="E215" s="363">
        <f>'m1'!$L$31</f>
        <v>-1.6697999999999997</v>
      </c>
      <c r="F215" s="363">
        <f>'m1'!$M$31</f>
        <v>359.02131436497638</v>
      </c>
      <c r="G215" s="363">
        <f>'m1'!$N$31</f>
        <v>357.35151436497637</v>
      </c>
      <c r="H215" s="100" t="e">
        <f>+I215/$D$77</f>
        <v>#REF!</v>
      </c>
      <c r="I215" s="99" t="e">
        <f>+'R1'!#REF!</f>
        <v>#REF!</v>
      </c>
      <c r="J215" s="99" t="e">
        <f>+'R1'!#REF!</f>
        <v>#REF!</v>
      </c>
      <c r="K215" s="99" t="e">
        <f t="shared" si="28"/>
        <v>#REF!</v>
      </c>
      <c r="L215" s="98">
        <f>'m1'!AB31</f>
        <v>3.0904874028385678</v>
      </c>
      <c r="M215" s="98">
        <f>'m1'!AC31</f>
        <v>313.75037248361986</v>
      </c>
      <c r="N215" s="98">
        <f>'m1'!AD31</f>
        <v>316.84085988645842</v>
      </c>
    </row>
    <row r="216" spans="3:15">
      <c r="C216" s="103" t="s">
        <v>16</v>
      </c>
      <c r="D216" s="96" t="s">
        <v>11</v>
      </c>
      <c r="E216" s="376">
        <f>'m1'!$L$32</f>
        <v>447.65572400000002</v>
      </c>
      <c r="F216" s="376">
        <f>'m1'!$M$32</f>
        <v>362.57651436497639</v>
      </c>
      <c r="G216" s="376">
        <f>'m1'!$N$32</f>
        <v>810.23223836497641</v>
      </c>
      <c r="H216" s="101"/>
      <c r="I216" s="104" t="e">
        <f>SUM(I210:I215)</f>
        <v>#REF!</v>
      </c>
      <c r="J216" s="104" t="e">
        <f>SUM(J210:J215)</f>
        <v>#REF!</v>
      </c>
      <c r="K216" s="104" t="e">
        <f>SUM(K210:K215)</f>
        <v>#REF!</v>
      </c>
      <c r="L216" s="104">
        <f>'m1'!AB32</f>
        <v>521.46554312904459</v>
      </c>
      <c r="M216" s="104">
        <f>'m1'!AC32</f>
        <v>365.87647291947405</v>
      </c>
      <c r="N216" s="104">
        <f>'m1'!AD32</f>
        <v>887.34201604851864</v>
      </c>
    </row>
    <row r="217" spans="3:15">
      <c r="C217" s="103" t="s">
        <v>24</v>
      </c>
      <c r="D217" s="231"/>
      <c r="E217" s="232"/>
      <c r="F217" s="232"/>
      <c r="G217" s="398"/>
      <c r="H217" s="232"/>
      <c r="I217" s="232"/>
      <c r="J217" s="233"/>
      <c r="K217" s="135" t="e">
        <f>+K216/#REF!</f>
        <v>#REF!</v>
      </c>
      <c r="L217" s="444"/>
      <c r="M217" s="445"/>
      <c r="N217" s="135">
        <f>N216/G216</f>
        <v>1.0951699698337694</v>
      </c>
    </row>
    <row r="220" spans="3:15">
      <c r="C220" s="245" t="s">
        <v>7</v>
      </c>
      <c r="D220" s="241">
        <f>'m1'!F25</f>
        <v>2200</v>
      </c>
      <c r="E220" s="446" t="s">
        <v>136</v>
      </c>
      <c r="F220" s="446"/>
      <c r="G220" s="446"/>
      <c r="L220" s="447" t="s">
        <v>142</v>
      </c>
      <c r="M220" s="448"/>
      <c r="N220" s="449"/>
    </row>
    <row r="221" spans="3:15">
      <c r="C221" s="103" t="s">
        <v>9</v>
      </c>
      <c r="D221" s="247">
        <f>'m1'!F26</f>
        <v>20.047924054829341</v>
      </c>
      <c r="E221" s="446"/>
      <c r="F221" s="446"/>
      <c r="G221" s="446"/>
      <c r="H221" s="236"/>
      <c r="K221" s="237"/>
      <c r="L221" s="450"/>
      <c r="M221" s="451"/>
      <c r="N221" s="452"/>
    </row>
    <row r="222" spans="3:15" ht="45">
      <c r="C222" s="103"/>
      <c r="D222" s="247"/>
      <c r="E222" s="389" t="s">
        <v>60</v>
      </c>
      <c r="F222" s="390" t="s">
        <v>61</v>
      </c>
      <c r="G222" s="389" t="s">
        <v>62</v>
      </c>
      <c r="H222" s="391" t="s">
        <v>4</v>
      </c>
      <c r="I222" s="391" t="s">
        <v>5</v>
      </c>
      <c r="J222" s="392" t="s">
        <v>2</v>
      </c>
      <c r="K222" s="393" t="s">
        <v>6</v>
      </c>
      <c r="L222" s="389" t="s">
        <v>60</v>
      </c>
      <c r="M222" s="390" t="s">
        <v>61</v>
      </c>
      <c r="N222" s="389" t="s">
        <v>62</v>
      </c>
    </row>
    <row r="223" spans="3:15">
      <c r="C223" s="95" t="s">
        <v>10</v>
      </c>
      <c r="D223" s="96" t="s">
        <v>11</v>
      </c>
      <c r="E223" s="97">
        <f>'m1'!$L$27</f>
        <v>310.20000000000005</v>
      </c>
      <c r="F223" s="97"/>
      <c r="G223" s="97">
        <f>'m1'!$N$27</f>
        <v>310.20000000000005</v>
      </c>
      <c r="H223" s="136" t="e">
        <f>+'R1'!#REF!</f>
        <v>#REF!</v>
      </c>
      <c r="I223" s="119" t="e">
        <f>+'R1'!#REF!</f>
        <v>#REF!</v>
      </c>
      <c r="J223" s="99" t="e">
        <f>+'R1'!#REF!</f>
        <v>#REF!</v>
      </c>
      <c r="K223" s="99" t="e">
        <f>SUM(I223:J223)</f>
        <v>#REF!</v>
      </c>
      <c r="L223" s="383">
        <f>'m1'!AJ27</f>
        <v>349.17132188263611</v>
      </c>
      <c r="M223" s="383"/>
      <c r="N223" s="377">
        <f>'m1'!AL27</f>
        <v>349.17132188263611</v>
      </c>
      <c r="O223" s="236"/>
    </row>
    <row r="224" spans="3:15">
      <c r="C224" s="95" t="s">
        <v>95</v>
      </c>
      <c r="D224" s="96" t="s">
        <v>11</v>
      </c>
      <c r="E224" s="97"/>
      <c r="F224" s="97"/>
      <c r="G224" s="97"/>
      <c r="H224" s="136"/>
      <c r="I224" s="119"/>
      <c r="J224" s="99"/>
      <c r="K224" s="99"/>
      <c r="L224" s="98"/>
      <c r="M224" s="98"/>
      <c r="N224" s="98"/>
    </row>
    <row r="225" spans="3:14">
      <c r="C225" s="95" t="s">
        <v>138</v>
      </c>
      <c r="D225" s="96" t="s">
        <v>11</v>
      </c>
      <c r="E225" s="363">
        <f>'m1'!$L$29</f>
        <v>119.433324</v>
      </c>
      <c r="F225" s="363">
        <f>'m1'!$M$29</f>
        <v>2.7873999999999999</v>
      </c>
      <c r="G225" s="363">
        <f>'m1'!$N$29</f>
        <v>122.220724</v>
      </c>
      <c r="H225" s="101"/>
      <c r="I225" s="101"/>
      <c r="J225" s="99" t="e">
        <f>+'R1'!#REF!</f>
        <v>#REF!</v>
      </c>
      <c r="K225" s="99" t="e">
        <f t="shared" ref="K225:K228" si="29">SUM(I225:J225)</f>
        <v>#REF!</v>
      </c>
      <c r="L225" s="98">
        <f>'m1'!AJ29</f>
        <v>157.99735212290855</v>
      </c>
      <c r="M225" s="98">
        <f>'m1'!AK29</f>
        <v>11.315043976034325</v>
      </c>
      <c r="N225" s="98">
        <f>'m1'!AL29</f>
        <v>169.31239609894288</v>
      </c>
    </row>
    <row r="226" spans="3:14">
      <c r="C226" s="95" t="s">
        <v>93</v>
      </c>
      <c r="D226" s="96" t="s">
        <v>11</v>
      </c>
      <c r="E226" s="363">
        <f>'m1'!$L$30</f>
        <v>19.6922</v>
      </c>
      <c r="F226" s="363">
        <f>'m1'!$M$30</f>
        <v>0.76780000000000004</v>
      </c>
      <c r="G226" s="363">
        <f>SUM(E226:F226)</f>
        <v>20.46</v>
      </c>
      <c r="H226" s="101"/>
      <c r="I226" s="101"/>
      <c r="J226" s="99" t="e">
        <f>+'R1'!#REF!</f>
        <v>#REF!</v>
      </c>
      <c r="K226" s="99" t="e">
        <f t="shared" si="29"/>
        <v>#REF!</v>
      </c>
      <c r="L226" s="98"/>
      <c r="M226" s="98"/>
      <c r="N226" s="98"/>
    </row>
    <row r="227" spans="3:14">
      <c r="C227" s="95" t="s">
        <v>14</v>
      </c>
      <c r="D227" s="96" t="s">
        <v>11</v>
      </c>
      <c r="E227" s="363"/>
      <c r="F227" s="363"/>
      <c r="G227" s="363"/>
      <c r="H227" s="101"/>
      <c r="I227" s="101"/>
      <c r="J227" s="99" t="e">
        <f>+'R1'!#REF!</f>
        <v>#REF!</v>
      </c>
      <c r="K227" s="99" t="e">
        <f t="shared" si="29"/>
        <v>#REF!</v>
      </c>
      <c r="L227" s="98">
        <f>'m1'!AJ30</f>
        <v>-1.9029784741519771</v>
      </c>
      <c r="M227" s="98">
        <f>'m1'!AK30</f>
        <v>40.587493906709774</v>
      </c>
      <c r="N227" s="98">
        <f>'m1'!AL30</f>
        <v>38.684515432557795</v>
      </c>
    </row>
    <row r="228" spans="3:14">
      <c r="C228" s="95" t="s">
        <v>15</v>
      </c>
      <c r="D228" s="96" t="s">
        <v>11</v>
      </c>
      <c r="E228" s="363">
        <f>'m1'!$L$31</f>
        <v>-1.6697999999999997</v>
      </c>
      <c r="F228" s="363">
        <f>'m1'!$M$31</f>
        <v>359.02131436497638</v>
      </c>
      <c r="G228" s="363">
        <f>'m1'!$N$31</f>
        <v>357.35151436497637</v>
      </c>
      <c r="H228" s="100" t="e">
        <f>+I228/$D$77</f>
        <v>#REF!</v>
      </c>
      <c r="I228" s="99" t="e">
        <f>+'R1'!#REF!</f>
        <v>#REF!</v>
      </c>
      <c r="J228" s="99" t="e">
        <f>+'R1'!#REF!</f>
        <v>#REF!</v>
      </c>
      <c r="K228" s="99" t="e">
        <f t="shared" si="29"/>
        <v>#REF!</v>
      </c>
      <c r="L228" s="98">
        <f>'m1'!AJ31</f>
        <v>3.0904874028385678</v>
      </c>
      <c r="M228" s="98">
        <f>'m1'!AK31</f>
        <v>313.75037248361986</v>
      </c>
      <c r="N228" s="98">
        <f>'m1'!AL31</f>
        <v>316.84085988645842</v>
      </c>
    </row>
    <row r="229" spans="3:14">
      <c r="C229" s="103" t="s">
        <v>16</v>
      </c>
      <c r="D229" s="96" t="s">
        <v>11</v>
      </c>
      <c r="E229" s="376">
        <f>'m1'!$L$32</f>
        <v>447.65572400000002</v>
      </c>
      <c r="F229" s="376">
        <f>'m1'!$M$32</f>
        <v>362.57651436497639</v>
      </c>
      <c r="G229" s="376">
        <f>'m1'!$N$32</f>
        <v>810.23223836497641</v>
      </c>
      <c r="H229" s="101"/>
      <c r="I229" s="104" t="e">
        <f>SUM(I223:I228)</f>
        <v>#REF!</v>
      </c>
      <c r="J229" s="104" t="e">
        <f>SUM(J223:J228)</f>
        <v>#REF!</v>
      </c>
      <c r="K229" s="104" t="e">
        <f>SUM(K223:K228)</f>
        <v>#REF!</v>
      </c>
      <c r="L229" s="104">
        <f>'m1'!AJ32</f>
        <v>508.35618293423124</v>
      </c>
      <c r="M229" s="104">
        <f>'m1'!AK32</f>
        <v>365.65291036636393</v>
      </c>
      <c r="N229" s="104">
        <f>'m1'!AL32</f>
        <v>874.00909330059517</v>
      </c>
    </row>
    <row r="230" spans="3:14">
      <c r="C230" s="103" t="s">
        <v>24</v>
      </c>
      <c r="D230" s="231"/>
      <c r="E230" s="232"/>
      <c r="F230" s="232"/>
      <c r="G230" s="398"/>
      <c r="H230" s="232"/>
      <c r="I230" s="232"/>
      <c r="J230" s="233"/>
      <c r="K230" s="135" t="e">
        <f>+K229/#REF!</f>
        <v>#REF!</v>
      </c>
      <c r="L230" s="444"/>
      <c r="M230" s="445"/>
      <c r="N230" s="135">
        <f>N229/G229</f>
        <v>1.0787142894539947</v>
      </c>
    </row>
    <row r="233" spans="3:14">
      <c r="C233" s="275" t="s">
        <v>146</v>
      </c>
    </row>
    <row r="234" spans="3:14" ht="15" customHeight="1">
      <c r="C234" s="245" t="s">
        <v>7</v>
      </c>
      <c r="D234" s="241">
        <f>'1'!$C$28</f>
        <v>2200</v>
      </c>
      <c r="E234" s="446" t="s">
        <v>136</v>
      </c>
      <c r="F234" s="446"/>
      <c r="G234" s="446"/>
      <c r="L234" s="447" t="s">
        <v>137</v>
      </c>
      <c r="M234" s="448"/>
      <c r="N234" s="449"/>
    </row>
    <row r="235" spans="3:14">
      <c r="C235" s="103" t="s">
        <v>9</v>
      </c>
      <c r="D235" s="247">
        <f>'1'!$C$29</f>
        <v>20.047924054829341</v>
      </c>
      <c r="E235" s="446"/>
      <c r="F235" s="446"/>
      <c r="G235" s="446"/>
      <c r="H235" s="236"/>
      <c r="K235" s="237"/>
      <c r="L235" s="450"/>
      <c r="M235" s="451"/>
      <c r="N235" s="452"/>
    </row>
    <row r="236" spans="3:14" ht="45">
      <c r="C236" s="103"/>
      <c r="D236" s="247"/>
      <c r="E236" s="389" t="s">
        <v>60</v>
      </c>
      <c r="F236" s="390" t="s">
        <v>61</v>
      </c>
      <c r="G236" s="389" t="s">
        <v>62</v>
      </c>
      <c r="H236" s="391" t="s">
        <v>4</v>
      </c>
      <c r="I236" s="391" t="s">
        <v>5</v>
      </c>
      <c r="J236" s="392" t="s">
        <v>2</v>
      </c>
      <c r="K236" s="393" t="s">
        <v>6</v>
      </c>
      <c r="L236" s="389" t="s">
        <v>60</v>
      </c>
      <c r="M236" s="390" t="s">
        <v>61</v>
      </c>
      <c r="N236" s="389" t="s">
        <v>62</v>
      </c>
    </row>
    <row r="237" spans="3:14">
      <c r="C237" s="95" t="s">
        <v>10</v>
      </c>
      <c r="D237" s="96" t="s">
        <v>11</v>
      </c>
      <c r="E237" s="97">
        <f>'1'!$I$30</f>
        <v>310.20000000000005</v>
      </c>
      <c r="F237" s="97"/>
      <c r="G237" s="97">
        <f>'1'!$K$30</f>
        <v>310.20000000000005</v>
      </c>
      <c r="H237" s="136" t="e">
        <f>+'R1'!#REF!</f>
        <v>#REF!</v>
      </c>
      <c r="I237" s="119" t="e">
        <f>+'R1'!#REF!</f>
        <v>#REF!</v>
      </c>
      <c r="J237" s="99" t="e">
        <f>+'R1'!#REF!</f>
        <v>#REF!</v>
      </c>
      <c r="K237" s="99" t="e">
        <f>SUM(I237:J237)</f>
        <v>#REF!</v>
      </c>
      <c r="L237" s="98">
        <f>'1'!Q30</f>
        <v>349.17132188263611</v>
      </c>
      <c r="M237" s="98"/>
      <c r="N237" s="98">
        <f>'1'!S30</f>
        <v>349.17132188263611</v>
      </c>
    </row>
    <row r="238" spans="3:14">
      <c r="C238" s="95" t="s">
        <v>95</v>
      </c>
      <c r="D238" s="96" t="s">
        <v>11</v>
      </c>
      <c r="E238" s="97"/>
      <c r="F238" s="97"/>
      <c r="G238" s="97"/>
      <c r="H238" s="136"/>
      <c r="I238" s="119"/>
      <c r="J238" s="99"/>
      <c r="K238" s="99"/>
      <c r="L238" s="98">
        <f>'1'!Q31</f>
        <v>145.26147947461919</v>
      </c>
      <c r="M238" s="98">
        <f>'1'!R31</f>
        <v>2.4772396773983738</v>
      </c>
      <c r="N238" s="98">
        <f>'1'!S31</f>
        <v>147.73871915201758</v>
      </c>
    </row>
    <row r="239" spans="3:14">
      <c r="C239" s="95" t="s">
        <v>138</v>
      </c>
      <c r="D239" s="96" t="s">
        <v>11</v>
      </c>
      <c r="E239" s="363">
        <f>'1'!$I$31</f>
        <v>231.40407779999998</v>
      </c>
      <c r="F239" s="363">
        <f>'1'!$J$31</f>
        <v>1.7622</v>
      </c>
      <c r="G239" s="363">
        <f>'1'!$K$31</f>
        <v>233.16627779999999</v>
      </c>
      <c r="H239" s="101"/>
      <c r="I239" s="101"/>
      <c r="J239" s="99" t="e">
        <f>+'R1'!#REF!</f>
        <v>#REF!</v>
      </c>
      <c r="K239" s="99" t="e">
        <f t="shared" ref="K239:K242" si="30">SUM(I239:J239)</f>
        <v>#REF!</v>
      </c>
      <c r="L239" s="98">
        <f>'1'!Q32</f>
        <v>0</v>
      </c>
      <c r="M239" s="98">
        <f>'1'!R32</f>
        <v>8.6206110746322846</v>
      </c>
      <c r="N239" s="98">
        <f>'1'!S32</f>
        <v>8.6206110746322846</v>
      </c>
    </row>
    <row r="240" spans="3:14">
      <c r="C240" s="95" t="s">
        <v>14</v>
      </c>
      <c r="D240" s="96" t="s">
        <v>11</v>
      </c>
      <c r="E240" s="363">
        <f>'1'!$I$32</f>
        <v>-9.3588000000000005</v>
      </c>
      <c r="F240" s="363">
        <f>'1'!$J$32</f>
        <v>81.934600000000003</v>
      </c>
      <c r="G240" s="363">
        <f>'1'!$K$32</f>
        <v>72.575800000000001</v>
      </c>
      <c r="H240" s="101"/>
      <c r="I240" s="101"/>
      <c r="J240" s="99" t="e">
        <f>+'R1'!#REF!</f>
        <v>#REF!</v>
      </c>
      <c r="K240" s="99" t="e">
        <f t="shared" si="30"/>
        <v>#REF!</v>
      </c>
      <c r="L240" s="98">
        <f>'1'!Q33</f>
        <v>-1.9029784741519771</v>
      </c>
      <c r="M240" s="98">
        <f>'1'!R33</f>
        <v>40.587493906709774</v>
      </c>
      <c r="N240" s="98">
        <f>'1'!S33</f>
        <v>38.684515432557795</v>
      </c>
    </row>
    <row r="241" spans="3:14">
      <c r="C241" s="95" t="s">
        <v>93</v>
      </c>
      <c r="D241" s="96" t="s">
        <v>11</v>
      </c>
      <c r="E241" s="363">
        <f>'1'!$I$33</f>
        <v>40.057599999999994</v>
      </c>
      <c r="F241" s="363">
        <f>'1'!$J$33</f>
        <v>9.3125999999999998</v>
      </c>
      <c r="G241" s="363">
        <f>'1'!$K$33</f>
        <v>49.370199999999997</v>
      </c>
      <c r="H241" s="101"/>
      <c r="I241" s="101"/>
      <c r="J241" s="99" t="e">
        <f>+'R1'!#REF!</f>
        <v>#REF!</v>
      </c>
      <c r="K241" s="99" t="e">
        <f t="shared" si="30"/>
        <v>#REF!</v>
      </c>
      <c r="L241" s="98"/>
      <c r="M241" s="98"/>
      <c r="N241" s="98"/>
    </row>
    <row r="242" spans="3:14">
      <c r="C242" s="95" t="s">
        <v>15</v>
      </c>
      <c r="D242" s="96" t="s">
        <v>11</v>
      </c>
      <c r="E242" s="363">
        <f>'1'!$I$34</f>
        <v>4.7102000000000004</v>
      </c>
      <c r="F242" s="363">
        <f>'1'!$J$34</f>
        <v>237.18200000000002</v>
      </c>
      <c r="G242" s="363">
        <f>'1'!$K$34</f>
        <v>241.8922</v>
      </c>
      <c r="H242" s="100" t="e">
        <f>+I242/$D$77</f>
        <v>#REF!</v>
      </c>
      <c r="I242" s="99" t="e">
        <f>+'R1'!#REF!</f>
        <v>#REF!</v>
      </c>
      <c r="J242" s="99" t="e">
        <f>+'R1'!#REF!</f>
        <v>#REF!</v>
      </c>
      <c r="K242" s="99" t="e">
        <f t="shared" si="30"/>
        <v>#REF!</v>
      </c>
      <c r="L242" s="98">
        <f>'1'!Q34</f>
        <v>3.0904874028385678</v>
      </c>
      <c r="M242" s="98">
        <f>'1'!R34</f>
        <v>313.75037248361986</v>
      </c>
      <c r="N242" s="98">
        <f>'1'!S34</f>
        <v>316.84085988645842</v>
      </c>
    </row>
    <row r="243" spans="3:14">
      <c r="C243" s="103" t="s">
        <v>16</v>
      </c>
      <c r="D243" s="96" t="s">
        <v>11</v>
      </c>
      <c r="E243" s="376">
        <f>'1'!$I$35</f>
        <v>577.01307780000002</v>
      </c>
      <c r="F243" s="376">
        <f>'1'!$J$35</f>
        <v>330.19140000000004</v>
      </c>
      <c r="G243" s="376">
        <f>'1'!$K$35</f>
        <v>907.20447779999995</v>
      </c>
      <c r="H243" s="101"/>
      <c r="I243" s="104" t="e">
        <f>SUM(I237:I242)</f>
        <v>#REF!</v>
      </c>
      <c r="J243" s="104" t="e">
        <f>SUM(J237:J242)</f>
        <v>#REF!</v>
      </c>
      <c r="K243" s="104" t="e">
        <f>SUM(K237:K242)</f>
        <v>#REF!</v>
      </c>
      <c r="L243" s="104">
        <f>'1'!Q35</f>
        <v>495.62031028594191</v>
      </c>
      <c r="M243" s="104">
        <f>'1'!R35</f>
        <v>365.43571714236032</v>
      </c>
      <c r="N243" s="104">
        <f>'1'!S35</f>
        <v>861.05602742830206</v>
      </c>
    </row>
    <row r="244" spans="3:14">
      <c r="C244" s="103" t="s">
        <v>24</v>
      </c>
      <c r="D244" s="231"/>
      <c r="E244" s="232"/>
      <c r="F244" s="232"/>
      <c r="G244" s="398"/>
      <c r="H244" s="232"/>
      <c r="I244" s="232"/>
      <c r="J244" s="233"/>
      <c r="K244" s="135" t="e">
        <f>+K243/#REF!</f>
        <v>#REF!</v>
      </c>
      <c r="L244" s="444"/>
      <c r="M244" s="445"/>
      <c r="N244" s="135">
        <f>N243/G243</f>
        <v>0.94913114793744258</v>
      </c>
    </row>
    <row r="247" spans="3:14" ht="15" customHeight="1">
      <c r="C247" s="245" t="s">
        <v>7</v>
      </c>
      <c r="D247" s="241">
        <f>'1'!$C$28</f>
        <v>2200</v>
      </c>
      <c r="E247" s="446" t="s">
        <v>136</v>
      </c>
      <c r="F247" s="446"/>
      <c r="G247" s="446"/>
      <c r="L247" s="447" t="s">
        <v>140</v>
      </c>
      <c r="M247" s="448"/>
      <c r="N247" s="449"/>
    </row>
    <row r="248" spans="3:14">
      <c r="C248" s="103" t="s">
        <v>9</v>
      </c>
      <c r="D248" s="247">
        <f>'1'!$C$29</f>
        <v>20.047924054829341</v>
      </c>
      <c r="E248" s="446"/>
      <c r="F248" s="446"/>
      <c r="G248" s="446"/>
      <c r="H248" s="236"/>
      <c r="K248" s="237"/>
      <c r="L248" s="450"/>
      <c r="M248" s="451"/>
      <c r="N248" s="452"/>
    </row>
    <row r="249" spans="3:14" ht="45">
      <c r="C249" s="103"/>
      <c r="D249" s="247"/>
      <c r="E249" s="389" t="s">
        <v>60</v>
      </c>
      <c r="F249" s="390" t="s">
        <v>61</v>
      </c>
      <c r="G249" s="389" t="s">
        <v>62</v>
      </c>
      <c r="H249" s="391" t="s">
        <v>4</v>
      </c>
      <c r="I249" s="391" t="s">
        <v>5</v>
      </c>
      <c r="J249" s="392" t="s">
        <v>2</v>
      </c>
      <c r="K249" s="393" t="s">
        <v>6</v>
      </c>
      <c r="L249" s="389" t="s">
        <v>60</v>
      </c>
      <c r="M249" s="390" t="s">
        <v>61</v>
      </c>
      <c r="N249" s="389" t="s">
        <v>62</v>
      </c>
    </row>
    <row r="250" spans="3:14">
      <c r="C250" s="95" t="s">
        <v>10</v>
      </c>
      <c r="D250" s="96" t="s">
        <v>11</v>
      </c>
      <c r="E250" s="97">
        <f>'1'!$I$30</f>
        <v>310.20000000000005</v>
      </c>
      <c r="F250" s="97"/>
      <c r="G250" s="97">
        <f>'1'!$K$30</f>
        <v>310.20000000000005</v>
      </c>
      <c r="H250" s="136" t="e">
        <f>+'R1'!#REF!</f>
        <v>#REF!</v>
      </c>
      <c r="I250" s="119" t="e">
        <f>+'R1'!#REF!</f>
        <v>#REF!</v>
      </c>
      <c r="J250" s="99" t="e">
        <f>+'R1'!#REF!</f>
        <v>#REF!</v>
      </c>
      <c r="K250" s="99" t="e">
        <f>SUM(I250:J250)</f>
        <v>#REF!</v>
      </c>
      <c r="L250" s="98">
        <f>'1'!Y30</f>
        <v>520.27803420035798</v>
      </c>
      <c r="M250" s="98">
        <f>'1'!Z30</f>
        <v>2.9179954545121554</v>
      </c>
      <c r="N250" s="98">
        <f>'1'!AA30</f>
        <v>523.19602965487013</v>
      </c>
    </row>
    <row r="251" spans="3:14">
      <c r="C251" s="95" t="s">
        <v>95</v>
      </c>
      <c r="D251" s="96" t="s">
        <v>11</v>
      </c>
      <c r="E251" s="97"/>
      <c r="F251" s="97"/>
      <c r="G251" s="97"/>
      <c r="H251" s="136"/>
      <c r="I251" s="119"/>
      <c r="J251" s="99"/>
      <c r="K251" s="99"/>
      <c r="L251" s="98"/>
      <c r="M251" s="98"/>
      <c r="N251" s="98"/>
    </row>
    <row r="252" spans="3:14">
      <c r="C252" s="95" t="s">
        <v>138</v>
      </c>
      <c r="D252" s="96" t="s">
        <v>11</v>
      </c>
      <c r="E252" s="363">
        <f>'1'!$I$31</f>
        <v>231.40407779999998</v>
      </c>
      <c r="F252" s="363">
        <f>'1'!$J$31</f>
        <v>1.7622</v>
      </c>
      <c r="G252" s="363">
        <f>'1'!$K$31</f>
        <v>233.16627779999999</v>
      </c>
      <c r="H252" s="101"/>
      <c r="I252" s="101"/>
      <c r="J252" s="99" t="e">
        <f>+'R1'!#REF!</f>
        <v>#REF!</v>
      </c>
      <c r="K252" s="99" t="e">
        <f t="shared" ref="K252:K255" si="31">SUM(I252:J252)</f>
        <v>#REF!</v>
      </c>
      <c r="L252" s="98">
        <f>'1'!Y32</f>
        <v>0</v>
      </c>
      <c r="M252" s="98">
        <f>'1'!Z32</f>
        <v>8.6206110746322846</v>
      </c>
      <c r="N252" s="98">
        <f>'1'!AA32</f>
        <v>8.6206110746322846</v>
      </c>
    </row>
    <row r="253" spans="3:14">
      <c r="C253" s="95" t="s">
        <v>14</v>
      </c>
      <c r="D253" s="96" t="s">
        <v>11</v>
      </c>
      <c r="E253" s="363">
        <f>'1'!$I$32</f>
        <v>-9.3588000000000005</v>
      </c>
      <c r="F253" s="363">
        <f>'1'!$J$32</f>
        <v>81.934600000000003</v>
      </c>
      <c r="G253" s="363">
        <f>'1'!$K$32</f>
        <v>72.575800000000001</v>
      </c>
      <c r="H253" s="101"/>
      <c r="I253" s="101"/>
      <c r="J253" s="99" t="e">
        <f>+'R1'!#REF!</f>
        <v>#REF!</v>
      </c>
      <c r="K253" s="99" t="e">
        <f t="shared" si="31"/>
        <v>#REF!</v>
      </c>
      <c r="L253" s="98">
        <f>'1'!Y33</f>
        <v>-1.9029784741519771</v>
      </c>
      <c r="M253" s="98">
        <f>'1'!Z33</f>
        <v>40.587493906709774</v>
      </c>
      <c r="N253" s="98">
        <f>'1'!AA33</f>
        <v>38.684515432557795</v>
      </c>
    </row>
    <row r="254" spans="3:14">
      <c r="C254" s="95" t="s">
        <v>93</v>
      </c>
      <c r="D254" s="96" t="s">
        <v>11</v>
      </c>
      <c r="E254" s="363">
        <f>'1'!$I$33</f>
        <v>40.057599999999994</v>
      </c>
      <c r="F254" s="363">
        <f>'1'!$J$33</f>
        <v>9.3125999999999998</v>
      </c>
      <c r="G254" s="363">
        <f>'1'!$K$33</f>
        <v>49.370199999999997</v>
      </c>
      <c r="H254" s="101"/>
      <c r="I254" s="101"/>
      <c r="J254" s="99" t="e">
        <f>+'R1'!#REF!</f>
        <v>#REF!</v>
      </c>
      <c r="K254" s="99" t="e">
        <f t="shared" si="31"/>
        <v>#REF!</v>
      </c>
      <c r="L254" s="98"/>
      <c r="M254" s="98"/>
      <c r="N254" s="98"/>
    </row>
    <row r="255" spans="3:14">
      <c r="C255" s="95" t="s">
        <v>15</v>
      </c>
      <c r="D255" s="96" t="s">
        <v>11</v>
      </c>
      <c r="E255" s="363">
        <f>'1'!$I$34</f>
        <v>4.7102000000000004</v>
      </c>
      <c r="F255" s="363">
        <f>'1'!$J$34</f>
        <v>237.18200000000002</v>
      </c>
      <c r="G255" s="363">
        <f>'1'!$K$34</f>
        <v>241.8922</v>
      </c>
      <c r="H255" s="100" t="e">
        <f>+I255/$D$77</f>
        <v>#REF!</v>
      </c>
      <c r="I255" s="99" t="e">
        <f>+'R1'!#REF!</f>
        <v>#REF!</v>
      </c>
      <c r="J255" s="99" t="e">
        <f>+'R1'!#REF!</f>
        <v>#REF!</v>
      </c>
      <c r="K255" s="99" t="e">
        <f t="shared" si="31"/>
        <v>#REF!</v>
      </c>
      <c r="L255" s="98">
        <f>'1'!Y34</f>
        <v>3.0904874028385678</v>
      </c>
      <c r="M255" s="98">
        <f>'1'!Z34</f>
        <v>313.75037248361986</v>
      </c>
      <c r="N255" s="98">
        <f>'1'!AA34</f>
        <v>316.84085988645842</v>
      </c>
    </row>
    <row r="256" spans="3:14">
      <c r="C256" s="103" t="s">
        <v>16</v>
      </c>
      <c r="D256" s="96" t="s">
        <v>11</v>
      </c>
      <c r="E256" s="376">
        <f>'1'!$I$35</f>
        <v>577.01307780000002</v>
      </c>
      <c r="F256" s="376">
        <f>'1'!$J$35</f>
        <v>330.19140000000004</v>
      </c>
      <c r="G256" s="376">
        <f>'1'!$K$35</f>
        <v>907.20447779999995</v>
      </c>
      <c r="H256" s="101"/>
      <c r="I256" s="104" t="e">
        <f>SUM(I250:I255)</f>
        <v>#REF!</v>
      </c>
      <c r="J256" s="104" t="e">
        <f>SUM(J250:J255)</f>
        <v>#REF!</v>
      </c>
      <c r="K256" s="104" t="e">
        <f>SUM(K250:K255)</f>
        <v>#REF!</v>
      </c>
      <c r="L256" s="104">
        <f>'1'!Y35</f>
        <v>521.46554312904459</v>
      </c>
      <c r="M256" s="104">
        <f>'1'!Z35</f>
        <v>365.87647291947405</v>
      </c>
      <c r="N256" s="104">
        <f>'1'!AA35</f>
        <v>887.34201604851864</v>
      </c>
    </row>
    <row r="257" spans="3:14">
      <c r="C257" s="103" t="s">
        <v>24</v>
      </c>
      <c r="D257" s="231"/>
      <c r="E257" s="232"/>
      <c r="F257" s="232"/>
      <c r="G257" s="398"/>
      <c r="H257" s="232"/>
      <c r="I257" s="232"/>
      <c r="J257" s="233"/>
      <c r="K257" s="135" t="e">
        <f>+K256/#REF!</f>
        <v>#REF!</v>
      </c>
      <c r="L257" s="444"/>
      <c r="M257" s="445"/>
      <c r="N257" s="135">
        <f>N256/G256</f>
        <v>0.97810586010372391</v>
      </c>
    </row>
    <row r="260" spans="3:14" ht="15" customHeight="1">
      <c r="C260" s="245" t="s">
        <v>7</v>
      </c>
      <c r="D260" s="241">
        <f>'1'!$C$28</f>
        <v>2200</v>
      </c>
      <c r="E260" s="446" t="s">
        <v>136</v>
      </c>
      <c r="F260" s="446"/>
      <c r="G260" s="446"/>
      <c r="L260" s="447" t="s">
        <v>142</v>
      </c>
      <c r="M260" s="448"/>
      <c r="N260" s="449"/>
    </row>
    <row r="261" spans="3:14">
      <c r="C261" s="103" t="s">
        <v>9</v>
      </c>
      <c r="D261" s="247">
        <f>'1'!$C$29</f>
        <v>20.047924054829341</v>
      </c>
      <c r="E261" s="446"/>
      <c r="F261" s="446"/>
      <c r="G261" s="446"/>
      <c r="H261" s="236"/>
      <c r="K261" s="237"/>
      <c r="L261" s="450"/>
      <c r="M261" s="451"/>
      <c r="N261" s="452"/>
    </row>
    <row r="262" spans="3:14" ht="45">
      <c r="C262" s="103"/>
      <c r="D262" s="247"/>
      <c r="E262" s="389" t="s">
        <v>60</v>
      </c>
      <c r="F262" s="390" t="s">
        <v>61</v>
      </c>
      <c r="G262" s="389" t="s">
        <v>62</v>
      </c>
      <c r="H262" s="391" t="s">
        <v>4</v>
      </c>
      <c r="I262" s="391" t="s">
        <v>5</v>
      </c>
      <c r="J262" s="392" t="s">
        <v>2</v>
      </c>
      <c r="K262" s="393" t="s">
        <v>6</v>
      </c>
      <c r="L262" s="389" t="s">
        <v>60</v>
      </c>
      <c r="M262" s="390" t="s">
        <v>61</v>
      </c>
      <c r="N262" s="389" t="s">
        <v>62</v>
      </c>
    </row>
    <row r="263" spans="3:14">
      <c r="C263" s="95" t="s">
        <v>10</v>
      </c>
      <c r="D263" s="96" t="s">
        <v>11</v>
      </c>
      <c r="E263" s="97">
        <f>'1'!$I$30</f>
        <v>310.20000000000005</v>
      </c>
      <c r="F263" s="97"/>
      <c r="G263" s="97">
        <f>'1'!$K$30</f>
        <v>310.20000000000005</v>
      </c>
      <c r="H263" s="136" t="e">
        <f>+'R1'!#REF!</f>
        <v>#REF!</v>
      </c>
      <c r="I263" s="119" t="e">
        <f>+'R1'!#REF!</f>
        <v>#REF!</v>
      </c>
      <c r="J263" s="99" t="e">
        <f>+'R1'!#REF!</f>
        <v>#REF!</v>
      </c>
      <c r="K263" s="99" t="e">
        <f>SUM(I263:J263)</f>
        <v>#REF!</v>
      </c>
      <c r="L263" s="380">
        <f>'1'!AG30</f>
        <v>349.17132188263611</v>
      </c>
      <c r="M263" s="380"/>
      <c r="N263" s="383">
        <f>'1'!AI30</f>
        <v>349.17132188263611</v>
      </c>
    </row>
    <row r="264" spans="3:14">
      <c r="C264" s="95" t="s">
        <v>95</v>
      </c>
      <c r="D264" s="96" t="s">
        <v>11</v>
      </c>
      <c r="E264" s="97"/>
      <c r="F264" s="97"/>
      <c r="G264" s="97"/>
      <c r="H264" s="136"/>
      <c r="I264" s="119"/>
      <c r="J264" s="99"/>
      <c r="K264" s="99"/>
      <c r="L264" s="98"/>
      <c r="M264" s="98"/>
      <c r="N264" s="98"/>
    </row>
    <row r="265" spans="3:14">
      <c r="C265" s="95" t="s">
        <v>138</v>
      </c>
      <c r="D265" s="96" t="s">
        <v>11</v>
      </c>
      <c r="E265" s="363">
        <f>'1'!$I$31</f>
        <v>231.40407779999998</v>
      </c>
      <c r="F265" s="363">
        <f>'1'!$J$31</f>
        <v>1.7622</v>
      </c>
      <c r="G265" s="363">
        <f>'1'!$K$31</f>
        <v>233.16627779999999</v>
      </c>
      <c r="H265" s="101"/>
      <c r="I265" s="101"/>
      <c r="J265" s="99" t="e">
        <f>+'R1'!#REF!</f>
        <v>#REF!</v>
      </c>
      <c r="K265" s="99" t="e">
        <f t="shared" ref="K265:K268" si="32">SUM(I265:J265)</f>
        <v>#REF!</v>
      </c>
      <c r="L265" s="98">
        <f>'1'!AG32</f>
        <v>157.99735212290855</v>
      </c>
      <c r="M265" s="98">
        <f>'1'!AH32</f>
        <v>11.315043976034325</v>
      </c>
      <c r="N265" s="98">
        <f>'1'!AI32</f>
        <v>169.31239609894288</v>
      </c>
    </row>
    <row r="266" spans="3:14">
      <c r="C266" s="95" t="s">
        <v>14</v>
      </c>
      <c r="D266" s="96" t="s">
        <v>11</v>
      </c>
      <c r="E266" s="363">
        <f>'1'!$I$32</f>
        <v>-9.3588000000000005</v>
      </c>
      <c r="F266" s="363">
        <f>'1'!$J$32</f>
        <v>81.934600000000003</v>
      </c>
      <c r="G266" s="363">
        <f>'1'!$K$32</f>
        <v>72.575800000000001</v>
      </c>
      <c r="H266" s="101"/>
      <c r="I266" s="101"/>
      <c r="J266" s="99" t="e">
        <f>+'R1'!#REF!</f>
        <v>#REF!</v>
      </c>
      <c r="K266" s="99" t="e">
        <f t="shared" si="32"/>
        <v>#REF!</v>
      </c>
      <c r="L266" s="98">
        <f>'1'!AG33</f>
        <v>-1.9029784741519771</v>
      </c>
      <c r="M266" s="98">
        <f>'1'!AH33</f>
        <v>40.587493906709774</v>
      </c>
      <c r="N266" s="98">
        <f>'1'!AI33</f>
        <v>38.684515432557795</v>
      </c>
    </row>
    <row r="267" spans="3:14">
      <c r="C267" s="95" t="s">
        <v>93</v>
      </c>
      <c r="D267" s="96" t="s">
        <v>11</v>
      </c>
      <c r="E267" s="363">
        <f>'1'!$I$33</f>
        <v>40.057599999999994</v>
      </c>
      <c r="F267" s="363">
        <f>'1'!$J$33</f>
        <v>9.3125999999999998</v>
      </c>
      <c r="G267" s="363">
        <f>'1'!$K$33</f>
        <v>49.370199999999997</v>
      </c>
      <c r="H267" s="101"/>
      <c r="I267" s="101"/>
      <c r="J267" s="99" t="e">
        <f>+'R1'!#REF!</f>
        <v>#REF!</v>
      </c>
      <c r="K267" s="99" t="e">
        <f t="shared" si="32"/>
        <v>#REF!</v>
      </c>
      <c r="L267" s="98"/>
      <c r="M267" s="98"/>
      <c r="N267" s="98"/>
    </row>
    <row r="268" spans="3:14">
      <c r="C268" s="95" t="s">
        <v>15</v>
      </c>
      <c r="D268" s="96" t="s">
        <v>11</v>
      </c>
      <c r="E268" s="363">
        <f>'1'!$I$34</f>
        <v>4.7102000000000004</v>
      </c>
      <c r="F268" s="363">
        <f>'1'!$J$34</f>
        <v>237.18200000000002</v>
      </c>
      <c r="G268" s="363">
        <f>'1'!$K$34</f>
        <v>241.8922</v>
      </c>
      <c r="H268" s="100" t="e">
        <f>+I268/$D$77</f>
        <v>#REF!</v>
      </c>
      <c r="I268" s="99" t="e">
        <f>+'R1'!#REF!</f>
        <v>#REF!</v>
      </c>
      <c r="J268" s="99" t="e">
        <f>+'R1'!#REF!</f>
        <v>#REF!</v>
      </c>
      <c r="K268" s="99" t="e">
        <f t="shared" si="32"/>
        <v>#REF!</v>
      </c>
      <c r="L268" s="98">
        <f>'1'!AG34</f>
        <v>3.0904874028385678</v>
      </c>
      <c r="M268" s="98">
        <f>'1'!AH34</f>
        <v>313.75037248361986</v>
      </c>
      <c r="N268" s="98">
        <f>'1'!AI34</f>
        <v>316.84085988645842</v>
      </c>
    </row>
    <row r="269" spans="3:14">
      <c r="C269" s="103" t="s">
        <v>16</v>
      </c>
      <c r="D269" s="96" t="s">
        <v>11</v>
      </c>
      <c r="E269" s="376">
        <f>'1'!$I$35</f>
        <v>577.01307780000002</v>
      </c>
      <c r="F269" s="376">
        <f>'1'!$J$35</f>
        <v>330.19140000000004</v>
      </c>
      <c r="G269" s="376">
        <f>'1'!$K$35</f>
        <v>907.20447779999995</v>
      </c>
      <c r="H269" s="101"/>
      <c r="I269" s="104" t="e">
        <f>SUM(I263:I268)</f>
        <v>#REF!</v>
      </c>
      <c r="J269" s="104" t="e">
        <f>SUM(J263:J268)</f>
        <v>#REF!</v>
      </c>
      <c r="K269" s="104" t="e">
        <f>SUM(K263:K268)</f>
        <v>#REF!</v>
      </c>
      <c r="L269" s="104">
        <f>'1'!AG35</f>
        <v>508.35618293423124</v>
      </c>
      <c r="M269" s="104">
        <f>'1'!AH35</f>
        <v>365.65291036636393</v>
      </c>
      <c r="N269" s="104">
        <f>'1'!AI35</f>
        <v>874.00909330059517</v>
      </c>
    </row>
    <row r="270" spans="3:14">
      <c r="C270" s="103" t="s">
        <v>24</v>
      </c>
      <c r="D270" s="231"/>
      <c r="E270" s="232"/>
      <c r="F270" s="232"/>
      <c r="G270" s="398"/>
      <c r="H270" s="232"/>
      <c r="I270" s="232"/>
      <c r="J270" s="233"/>
      <c r="K270" s="135" t="e">
        <f>+K269/#REF!</f>
        <v>#REF!</v>
      </c>
      <c r="L270" s="444"/>
      <c r="M270" s="445"/>
      <c r="N270" s="135">
        <f>N269/G269</f>
        <v>0.96340914831030744</v>
      </c>
    </row>
    <row r="273" spans="3:14">
      <c r="C273" s="275" t="s">
        <v>147</v>
      </c>
    </row>
    <row r="274" spans="3:14" ht="15" customHeight="1">
      <c r="C274" s="245" t="s">
        <v>7</v>
      </c>
      <c r="D274" s="241">
        <f>'1'!$C$28</f>
        <v>2200</v>
      </c>
      <c r="E274" s="446" t="s">
        <v>136</v>
      </c>
      <c r="F274" s="446"/>
      <c r="G274" s="446"/>
      <c r="L274" s="447" t="s">
        <v>137</v>
      </c>
      <c r="M274" s="448"/>
      <c r="N274" s="449"/>
    </row>
    <row r="275" spans="3:14">
      <c r="C275" s="103" t="s">
        <v>9</v>
      </c>
      <c r="D275" s="247">
        <f>'1'!$C$29</f>
        <v>20.047924054829341</v>
      </c>
      <c r="E275" s="446"/>
      <c r="F275" s="446"/>
      <c r="G275" s="446"/>
      <c r="H275" s="236"/>
      <c r="K275" s="237"/>
      <c r="L275" s="450"/>
      <c r="M275" s="451"/>
      <c r="N275" s="452"/>
    </row>
    <row r="276" spans="3:14" ht="45">
      <c r="C276" s="103"/>
      <c r="D276" s="247"/>
      <c r="E276" s="389" t="s">
        <v>60</v>
      </c>
      <c r="F276" s="390" t="s">
        <v>61</v>
      </c>
      <c r="G276" s="389" t="s">
        <v>62</v>
      </c>
      <c r="H276" s="391" t="s">
        <v>4</v>
      </c>
      <c r="I276" s="391" t="s">
        <v>5</v>
      </c>
      <c r="J276" s="392" t="s">
        <v>2</v>
      </c>
      <c r="K276" s="393" t="s">
        <v>6</v>
      </c>
      <c r="L276" s="389" t="s">
        <v>60</v>
      </c>
      <c r="M276" s="390" t="s">
        <v>61</v>
      </c>
      <c r="N276" s="389" t="s">
        <v>62</v>
      </c>
    </row>
    <row r="277" spans="3:14">
      <c r="C277" s="95" t="s">
        <v>10</v>
      </c>
      <c r="D277" s="96" t="s">
        <v>11</v>
      </c>
      <c r="E277" s="97">
        <f>'1'!$I$44</f>
        <v>310.20000000000005</v>
      </c>
      <c r="F277" s="97"/>
      <c r="G277" s="97">
        <f>'1'!$K$44</f>
        <v>310.20000000000005</v>
      </c>
      <c r="H277" s="136" t="e">
        <f>+'R1'!#REF!</f>
        <v>#REF!</v>
      </c>
      <c r="I277" s="119" t="e">
        <f>+'R1'!#REF!</f>
        <v>#REF!</v>
      </c>
      <c r="J277" s="99" t="e">
        <f>+'R1'!#REF!</f>
        <v>#REF!</v>
      </c>
      <c r="K277" s="99" t="e">
        <f>SUM(I277:J277)</f>
        <v>#REF!</v>
      </c>
      <c r="L277" s="98">
        <f>'1'!Q44</f>
        <v>349.17132188263611</v>
      </c>
      <c r="M277" s="98"/>
      <c r="N277" s="98">
        <f>'1'!S44</f>
        <v>349.17132188263611</v>
      </c>
    </row>
    <row r="278" spans="3:14">
      <c r="C278" s="95" t="s">
        <v>95</v>
      </c>
      <c r="D278" s="96" t="s">
        <v>11</v>
      </c>
      <c r="E278" s="97"/>
      <c r="F278" s="97"/>
      <c r="G278" s="97"/>
      <c r="H278" s="136"/>
      <c r="I278" s="119"/>
      <c r="J278" s="99"/>
      <c r="K278" s="99"/>
      <c r="L278" s="98">
        <f>'1'!Q45</f>
        <v>145.26147947461919</v>
      </c>
      <c r="M278" s="98">
        <f>'1'!R45</f>
        <v>2.4772396773983738</v>
      </c>
      <c r="N278" s="98">
        <f>'1'!S45</f>
        <v>147.73871915201758</v>
      </c>
    </row>
    <row r="279" spans="3:14">
      <c r="C279" s="95" t="s">
        <v>138</v>
      </c>
      <c r="D279" s="96" t="s">
        <v>11</v>
      </c>
      <c r="E279" s="363">
        <f>'1'!$I$45</f>
        <v>231.40407779999998</v>
      </c>
      <c r="F279" s="363">
        <f>'1'!$J$45</f>
        <v>1.7622</v>
      </c>
      <c r="G279" s="363">
        <f>'1'!$K$45</f>
        <v>233.16627779999999</v>
      </c>
      <c r="H279" s="101"/>
      <c r="I279" s="101"/>
      <c r="J279" s="99" t="e">
        <f>+'R1'!#REF!</f>
        <v>#REF!</v>
      </c>
      <c r="K279" s="99" t="e">
        <f t="shared" ref="K279:K282" si="33">SUM(I279:J279)</f>
        <v>#REF!</v>
      </c>
      <c r="L279" s="98">
        <f>'1'!Q46</f>
        <v>0</v>
      </c>
      <c r="M279" s="98">
        <f>'1'!R46</f>
        <v>8.6206110746322846</v>
      </c>
      <c r="N279" s="98">
        <f>'1'!S46</f>
        <v>8.6206110746322846</v>
      </c>
    </row>
    <row r="280" spans="3:14">
      <c r="C280" s="95" t="s">
        <v>14</v>
      </c>
      <c r="D280" s="96" t="s">
        <v>11</v>
      </c>
      <c r="E280" s="363">
        <f>'1'!$I$46</f>
        <v>-9.3588000000000005</v>
      </c>
      <c r="F280" s="363">
        <f>'1'!$J$46</f>
        <v>81.934600000000003</v>
      </c>
      <c r="G280" s="363">
        <f>'1'!$K$46</f>
        <v>72.575800000000001</v>
      </c>
      <c r="H280" s="101"/>
      <c r="I280" s="101"/>
      <c r="J280" s="99" t="e">
        <f>+'R1'!#REF!</f>
        <v>#REF!</v>
      </c>
      <c r="K280" s="99" t="e">
        <f t="shared" si="33"/>
        <v>#REF!</v>
      </c>
      <c r="L280" s="98">
        <f>'1'!Q47</f>
        <v>-1.9029784741519771</v>
      </c>
      <c r="M280" s="98">
        <f>'1'!R47</f>
        <v>40.587493906709774</v>
      </c>
      <c r="N280" s="98">
        <f>'1'!S47</f>
        <v>38.684515432557795</v>
      </c>
    </row>
    <row r="281" spans="3:14">
      <c r="C281" s="95" t="s">
        <v>93</v>
      </c>
      <c r="D281" s="96" t="s">
        <v>11</v>
      </c>
      <c r="E281" s="363">
        <f>'1'!$I$47</f>
        <v>50.540599999999998</v>
      </c>
      <c r="F281" s="363">
        <f>'1'!$J$47</f>
        <v>80.022799999999989</v>
      </c>
      <c r="G281" s="363">
        <f>'1'!$K$47</f>
        <v>130.5634</v>
      </c>
      <c r="H281" s="101"/>
      <c r="I281" s="101"/>
      <c r="J281" s="99" t="e">
        <f>+'R1'!#REF!</f>
        <v>#REF!</v>
      </c>
      <c r="K281" s="99" t="e">
        <f t="shared" si="33"/>
        <v>#REF!</v>
      </c>
      <c r="L281" s="98"/>
      <c r="M281" s="98"/>
      <c r="N281" s="98"/>
    </row>
    <row r="282" spans="3:14">
      <c r="C282" s="95" t="s">
        <v>15</v>
      </c>
      <c r="D282" s="96" t="s">
        <v>11</v>
      </c>
      <c r="E282" s="363">
        <f>'1'!$I$48</f>
        <v>4.7102000000000004</v>
      </c>
      <c r="F282" s="363">
        <f>'1'!$J$48</f>
        <v>350.2515825443719</v>
      </c>
      <c r="G282" s="363">
        <f>'1'!$K$48</f>
        <v>354.96178254437189</v>
      </c>
      <c r="H282" s="100" t="e">
        <f>+I282/$D$77</f>
        <v>#REF!</v>
      </c>
      <c r="I282" s="99" t="e">
        <f>+'R1'!#REF!</f>
        <v>#REF!</v>
      </c>
      <c r="J282" s="99" t="e">
        <f>+'R1'!#REF!</f>
        <v>#REF!</v>
      </c>
      <c r="K282" s="99" t="e">
        <f t="shared" si="33"/>
        <v>#REF!</v>
      </c>
      <c r="L282" s="98">
        <f>'1'!Q48</f>
        <v>3.0904874028385678</v>
      </c>
      <c r="M282" s="98">
        <f>'1'!R48</f>
        <v>313.75037248361986</v>
      </c>
      <c r="N282" s="98">
        <f>'1'!S48</f>
        <v>316.84085988645842</v>
      </c>
    </row>
    <row r="283" spans="3:14">
      <c r="C283" s="103" t="s">
        <v>16</v>
      </c>
      <c r="D283" s="96" t="s">
        <v>11</v>
      </c>
      <c r="E283" s="376">
        <f>'1'!$I$49</f>
        <v>587.49607780000008</v>
      </c>
      <c r="F283" s="376">
        <f>'1'!$J$49</f>
        <v>513.97118254437191</v>
      </c>
      <c r="G283" s="376">
        <f>'1'!$K$49</f>
        <v>1101.4672603443719</v>
      </c>
      <c r="H283" s="101"/>
      <c r="I283" s="104" t="e">
        <f>SUM(I277:I282)</f>
        <v>#REF!</v>
      </c>
      <c r="J283" s="104" t="e">
        <f>SUM(J277:J282)</f>
        <v>#REF!</v>
      </c>
      <c r="K283" s="104" t="e">
        <f>SUM(K277:K282)</f>
        <v>#REF!</v>
      </c>
      <c r="L283" s="104">
        <f>'1'!Q49</f>
        <v>495.62031028594191</v>
      </c>
      <c r="M283" s="104">
        <f>'1'!R49</f>
        <v>365.43571714236032</v>
      </c>
      <c r="N283" s="104">
        <f>'1'!S49</f>
        <v>861.05602742830206</v>
      </c>
    </row>
    <row r="284" spans="3:14">
      <c r="C284" s="103" t="s">
        <v>24</v>
      </c>
      <c r="D284" s="231"/>
      <c r="E284" s="232"/>
      <c r="F284" s="232"/>
      <c r="G284" s="398"/>
      <c r="H284" s="232"/>
      <c r="I284" s="232"/>
      <c r="J284" s="233"/>
      <c r="K284" s="135" t="e">
        <f>+K283/#REF!</f>
        <v>#REF!</v>
      </c>
      <c r="L284" s="444"/>
      <c r="M284" s="445"/>
      <c r="N284" s="135">
        <f>N283/G283</f>
        <v>0.78173547088371409</v>
      </c>
    </row>
    <row r="287" spans="3:14" ht="15" customHeight="1">
      <c r="C287" s="245" t="s">
        <v>7</v>
      </c>
      <c r="D287" s="241">
        <f>'1'!$C$28</f>
        <v>2200</v>
      </c>
      <c r="E287" s="446" t="s">
        <v>136</v>
      </c>
      <c r="F287" s="446"/>
      <c r="G287" s="446"/>
      <c r="L287" s="447" t="s">
        <v>140</v>
      </c>
      <c r="M287" s="448"/>
      <c r="N287" s="449"/>
    </row>
    <row r="288" spans="3:14">
      <c r="C288" s="103" t="s">
        <v>9</v>
      </c>
      <c r="D288" s="247">
        <f>'1'!$C$29</f>
        <v>20.047924054829341</v>
      </c>
      <c r="E288" s="446"/>
      <c r="F288" s="446"/>
      <c r="G288" s="446"/>
      <c r="H288" s="236"/>
      <c r="K288" s="237"/>
      <c r="L288" s="450"/>
      <c r="M288" s="451"/>
      <c r="N288" s="452"/>
    </row>
    <row r="289" spans="3:14" ht="45">
      <c r="C289" s="103"/>
      <c r="D289" s="247"/>
      <c r="E289" s="389" t="s">
        <v>60</v>
      </c>
      <c r="F289" s="390" t="s">
        <v>61</v>
      </c>
      <c r="G289" s="389" t="s">
        <v>62</v>
      </c>
      <c r="H289" s="391" t="s">
        <v>4</v>
      </c>
      <c r="I289" s="391" t="s">
        <v>5</v>
      </c>
      <c r="J289" s="392" t="s">
        <v>2</v>
      </c>
      <c r="K289" s="393" t="s">
        <v>6</v>
      </c>
      <c r="L289" s="389" t="s">
        <v>60</v>
      </c>
      <c r="M289" s="390" t="s">
        <v>61</v>
      </c>
      <c r="N289" s="389" t="s">
        <v>62</v>
      </c>
    </row>
    <row r="290" spans="3:14">
      <c r="C290" s="95" t="s">
        <v>10</v>
      </c>
      <c r="D290" s="96" t="s">
        <v>11</v>
      </c>
      <c r="E290" s="97">
        <f>'1'!$I$44</f>
        <v>310.20000000000005</v>
      </c>
      <c r="F290" s="97"/>
      <c r="G290" s="97">
        <f>'1'!$K$44</f>
        <v>310.20000000000005</v>
      </c>
      <c r="H290" s="136" t="e">
        <f>+'R1'!#REF!</f>
        <v>#REF!</v>
      </c>
      <c r="I290" s="119" t="e">
        <f>+'R1'!#REF!</f>
        <v>#REF!</v>
      </c>
      <c r="J290" s="99" t="e">
        <f>+'R1'!#REF!</f>
        <v>#REF!</v>
      </c>
      <c r="K290" s="99" t="e">
        <f>SUM(I290:J290)</f>
        <v>#REF!</v>
      </c>
      <c r="L290" s="98">
        <f>'1'!Y44</f>
        <v>520.27803420035798</v>
      </c>
      <c r="M290" s="98">
        <f>'1'!Z44</f>
        <v>2.9179954545121554</v>
      </c>
      <c r="N290" s="98">
        <f>'1'!AA44</f>
        <v>523.19602965487013</v>
      </c>
    </row>
    <row r="291" spans="3:14">
      <c r="C291" s="95" t="s">
        <v>95</v>
      </c>
      <c r="D291" s="96" t="s">
        <v>11</v>
      </c>
      <c r="E291" s="97"/>
      <c r="F291" s="97"/>
      <c r="G291" s="97"/>
      <c r="H291" s="136"/>
      <c r="I291" s="119"/>
      <c r="J291" s="99"/>
      <c r="K291" s="99"/>
      <c r="L291" s="98"/>
      <c r="M291" s="98"/>
      <c r="N291" s="98"/>
    </row>
    <row r="292" spans="3:14">
      <c r="C292" s="95" t="s">
        <v>138</v>
      </c>
      <c r="D292" s="96" t="s">
        <v>11</v>
      </c>
      <c r="E292" s="363">
        <f>'1'!$I$45</f>
        <v>231.40407779999998</v>
      </c>
      <c r="F292" s="363">
        <f>'1'!$J$45</f>
        <v>1.7622</v>
      </c>
      <c r="G292" s="363">
        <f>'1'!$K$45</f>
        <v>233.16627779999999</v>
      </c>
      <c r="H292" s="101"/>
      <c r="I292" s="101"/>
      <c r="J292" s="99" t="e">
        <f>+'R1'!#REF!</f>
        <v>#REF!</v>
      </c>
      <c r="K292" s="99" t="e">
        <f t="shared" ref="K292:K295" si="34">SUM(I292:J292)</f>
        <v>#REF!</v>
      </c>
      <c r="L292" s="98">
        <f>'1'!Y46</f>
        <v>0</v>
      </c>
      <c r="M292" s="98">
        <f>'1'!Z46</f>
        <v>8.6206110746322846</v>
      </c>
      <c r="N292" s="98">
        <f>'1'!AA46</f>
        <v>8.6206110746322846</v>
      </c>
    </row>
    <row r="293" spans="3:14">
      <c r="C293" s="95" t="s">
        <v>14</v>
      </c>
      <c r="D293" s="96" t="s">
        <v>11</v>
      </c>
      <c r="E293" s="363">
        <f>'1'!$I$46</f>
        <v>-9.3588000000000005</v>
      </c>
      <c r="F293" s="363">
        <f>'1'!$J$46</f>
        <v>81.934600000000003</v>
      </c>
      <c r="G293" s="363">
        <f>'1'!$K$46</f>
        <v>72.575800000000001</v>
      </c>
      <c r="H293" s="101"/>
      <c r="I293" s="101"/>
      <c r="J293" s="99" t="e">
        <f>+'R1'!#REF!</f>
        <v>#REF!</v>
      </c>
      <c r="K293" s="99" t="e">
        <f t="shared" si="34"/>
        <v>#REF!</v>
      </c>
      <c r="L293" s="98">
        <f>'1'!Y47</f>
        <v>-1.9029784741519771</v>
      </c>
      <c r="M293" s="98">
        <f>'1'!Z47</f>
        <v>40.587493906709774</v>
      </c>
      <c r="N293" s="98">
        <f>'1'!AA47</f>
        <v>38.684515432557795</v>
      </c>
    </row>
    <row r="294" spans="3:14">
      <c r="C294" s="95" t="s">
        <v>93</v>
      </c>
      <c r="D294" s="96" t="s">
        <v>11</v>
      </c>
      <c r="E294" s="363">
        <f>'1'!$I$47</f>
        <v>50.540599999999998</v>
      </c>
      <c r="F294" s="363">
        <f>'1'!$J$47</f>
        <v>80.022799999999989</v>
      </c>
      <c r="G294" s="363">
        <f>'1'!$K$47</f>
        <v>130.5634</v>
      </c>
      <c r="H294" s="101"/>
      <c r="I294" s="101"/>
      <c r="J294" s="99" t="e">
        <f>+'R1'!#REF!</f>
        <v>#REF!</v>
      </c>
      <c r="K294" s="99" t="e">
        <f t="shared" si="34"/>
        <v>#REF!</v>
      </c>
      <c r="L294" s="98"/>
      <c r="M294" s="98"/>
      <c r="N294" s="98"/>
    </row>
    <row r="295" spans="3:14">
      <c r="C295" s="95" t="s">
        <v>15</v>
      </c>
      <c r="D295" s="96" t="s">
        <v>11</v>
      </c>
      <c r="E295" s="363">
        <f>'1'!$I$48</f>
        <v>4.7102000000000004</v>
      </c>
      <c r="F295" s="363">
        <f>'1'!$J$48</f>
        <v>350.2515825443719</v>
      </c>
      <c r="G295" s="363">
        <f>'1'!$K$48</f>
        <v>354.96178254437189</v>
      </c>
      <c r="H295" s="100" t="e">
        <f>+I295/$D$77</f>
        <v>#REF!</v>
      </c>
      <c r="I295" s="99" t="e">
        <f>+'R1'!#REF!</f>
        <v>#REF!</v>
      </c>
      <c r="J295" s="99" t="e">
        <f>+'R1'!#REF!</f>
        <v>#REF!</v>
      </c>
      <c r="K295" s="99" t="e">
        <f t="shared" si="34"/>
        <v>#REF!</v>
      </c>
      <c r="L295" s="98">
        <f>'1'!Y48</f>
        <v>3.0904874028385678</v>
      </c>
      <c r="M295" s="98">
        <f>'1'!Z48</f>
        <v>313.75037248361986</v>
      </c>
      <c r="N295" s="98">
        <f>'1'!AA48</f>
        <v>316.84085988645842</v>
      </c>
    </row>
    <row r="296" spans="3:14">
      <c r="C296" s="103" t="s">
        <v>16</v>
      </c>
      <c r="D296" s="96" t="s">
        <v>11</v>
      </c>
      <c r="E296" s="376">
        <f>'1'!$I$49</f>
        <v>587.49607780000008</v>
      </c>
      <c r="F296" s="376">
        <f>'1'!$J$49</f>
        <v>513.97118254437191</v>
      </c>
      <c r="G296" s="376">
        <f>'1'!$K$49</f>
        <v>1101.4672603443719</v>
      </c>
      <c r="H296" s="101"/>
      <c r="I296" s="104" t="e">
        <f>SUM(I290:I295)</f>
        <v>#REF!</v>
      </c>
      <c r="J296" s="104" t="e">
        <f>SUM(J290:J295)</f>
        <v>#REF!</v>
      </c>
      <c r="K296" s="104" t="e">
        <f>SUM(K290:K295)</f>
        <v>#REF!</v>
      </c>
      <c r="L296" s="104">
        <f>'1'!Y49</f>
        <v>521.46554312904459</v>
      </c>
      <c r="M296" s="104">
        <f>'1'!Z49</f>
        <v>365.87647291947405</v>
      </c>
      <c r="N296" s="104">
        <f>'1'!AA49</f>
        <v>887.34201604851864</v>
      </c>
    </row>
    <row r="297" spans="3:14">
      <c r="C297" s="103" t="s">
        <v>24</v>
      </c>
      <c r="D297" s="231"/>
      <c r="E297" s="232"/>
      <c r="F297" s="232"/>
      <c r="G297" s="398"/>
      <c r="H297" s="232"/>
      <c r="I297" s="232"/>
      <c r="J297" s="233"/>
      <c r="K297" s="135" t="e">
        <f>+K296/#REF!</f>
        <v>#REF!</v>
      </c>
      <c r="L297" s="444"/>
      <c r="M297" s="445"/>
      <c r="N297" s="135">
        <f>N296/G296</f>
        <v>0.80559999193357112</v>
      </c>
    </row>
    <row r="300" spans="3:14" ht="15" customHeight="1">
      <c r="C300" s="245" t="s">
        <v>7</v>
      </c>
      <c r="D300" s="241">
        <f>'1'!$C$28</f>
        <v>2200</v>
      </c>
      <c r="E300" s="446" t="s">
        <v>136</v>
      </c>
      <c r="F300" s="446"/>
      <c r="G300" s="446"/>
      <c r="L300" s="447" t="s">
        <v>142</v>
      </c>
      <c r="M300" s="448"/>
      <c r="N300" s="449"/>
    </row>
    <row r="301" spans="3:14">
      <c r="C301" s="103" t="s">
        <v>9</v>
      </c>
      <c r="D301" s="247">
        <f>'1'!$C$29</f>
        <v>20.047924054829341</v>
      </c>
      <c r="E301" s="446"/>
      <c r="F301" s="446"/>
      <c r="G301" s="446"/>
      <c r="H301" s="236"/>
      <c r="K301" s="237"/>
      <c r="L301" s="450"/>
      <c r="M301" s="451"/>
      <c r="N301" s="452"/>
    </row>
    <row r="302" spans="3:14" ht="45">
      <c r="C302" s="103"/>
      <c r="D302" s="247"/>
      <c r="E302" s="389" t="s">
        <v>60</v>
      </c>
      <c r="F302" s="390" t="s">
        <v>61</v>
      </c>
      <c r="G302" s="389" t="s">
        <v>62</v>
      </c>
      <c r="H302" s="391" t="s">
        <v>4</v>
      </c>
      <c r="I302" s="391" t="s">
        <v>5</v>
      </c>
      <c r="J302" s="392" t="s">
        <v>2</v>
      </c>
      <c r="K302" s="393" t="s">
        <v>6</v>
      </c>
      <c r="L302" s="389" t="s">
        <v>60</v>
      </c>
      <c r="M302" s="390" t="s">
        <v>61</v>
      </c>
      <c r="N302" s="389" t="s">
        <v>62</v>
      </c>
    </row>
    <row r="303" spans="3:14">
      <c r="C303" s="95" t="s">
        <v>10</v>
      </c>
      <c r="D303" s="96" t="s">
        <v>11</v>
      </c>
      <c r="E303" s="97">
        <f>'1'!$I$44</f>
        <v>310.20000000000005</v>
      </c>
      <c r="F303" s="97"/>
      <c r="G303" s="97">
        <f>'1'!$K$44</f>
        <v>310.20000000000005</v>
      </c>
      <c r="H303" s="136" t="e">
        <f>+'R1'!#REF!</f>
        <v>#REF!</v>
      </c>
      <c r="I303" s="119" t="e">
        <f>+'R1'!#REF!</f>
        <v>#REF!</v>
      </c>
      <c r="J303" s="99" t="e">
        <f>+'R1'!#REF!</f>
        <v>#REF!</v>
      </c>
      <c r="K303" s="99" t="e">
        <f>SUM(I303:J303)</f>
        <v>#REF!</v>
      </c>
      <c r="L303" s="380">
        <f>'1'!AG44</f>
        <v>349.17132188263611</v>
      </c>
      <c r="M303" s="380"/>
      <c r="N303" s="383">
        <f>'1'!AI44</f>
        <v>349.17132188263611</v>
      </c>
    </row>
    <row r="304" spans="3:14">
      <c r="C304" s="95" t="s">
        <v>95</v>
      </c>
      <c r="D304" s="96" t="s">
        <v>11</v>
      </c>
      <c r="E304" s="97"/>
      <c r="F304" s="97"/>
      <c r="G304" s="97"/>
      <c r="H304" s="136"/>
      <c r="I304" s="119"/>
      <c r="J304" s="99"/>
      <c r="K304" s="99"/>
      <c r="L304" s="98"/>
      <c r="M304" s="98"/>
      <c r="N304" s="98"/>
    </row>
    <row r="305" spans="3:14">
      <c r="C305" s="95" t="s">
        <v>138</v>
      </c>
      <c r="D305" s="96" t="s">
        <v>11</v>
      </c>
      <c r="E305" s="363">
        <f>'1'!$I$45</f>
        <v>231.40407779999998</v>
      </c>
      <c r="F305" s="363">
        <f>'1'!$J$45</f>
        <v>1.7622</v>
      </c>
      <c r="G305" s="363">
        <f>'1'!$K$45</f>
        <v>233.16627779999999</v>
      </c>
      <c r="H305" s="101"/>
      <c r="I305" s="101"/>
      <c r="J305" s="99" t="e">
        <f>+'R1'!#REF!</f>
        <v>#REF!</v>
      </c>
      <c r="K305" s="99" t="e">
        <f t="shared" ref="K305:K308" si="35">SUM(I305:J305)</f>
        <v>#REF!</v>
      </c>
      <c r="L305" s="98">
        <f>'1'!AG46</f>
        <v>157.99735212290855</v>
      </c>
      <c r="M305" s="98">
        <f>'1'!AH46</f>
        <v>11.315043976034325</v>
      </c>
      <c r="N305" s="98">
        <f>'1'!AI46</f>
        <v>169.31239609894288</v>
      </c>
    </row>
    <row r="306" spans="3:14">
      <c r="C306" s="95" t="s">
        <v>14</v>
      </c>
      <c r="D306" s="96" t="s">
        <v>11</v>
      </c>
      <c r="E306" s="363">
        <f>'1'!$I$46</f>
        <v>-9.3588000000000005</v>
      </c>
      <c r="F306" s="363">
        <f>'1'!$J$46</f>
        <v>81.934600000000003</v>
      </c>
      <c r="G306" s="363">
        <f>'1'!$K$46</f>
        <v>72.575800000000001</v>
      </c>
      <c r="H306" s="101"/>
      <c r="I306" s="101"/>
      <c r="J306" s="99" t="e">
        <f>+'R1'!#REF!</f>
        <v>#REF!</v>
      </c>
      <c r="K306" s="99" t="e">
        <f t="shared" si="35"/>
        <v>#REF!</v>
      </c>
      <c r="L306" s="98">
        <f>'1'!AG47</f>
        <v>-1.9029784741519771</v>
      </c>
      <c r="M306" s="98">
        <f>'1'!AH47</f>
        <v>40.587493906709774</v>
      </c>
      <c r="N306" s="98">
        <f>'1'!AI47</f>
        <v>38.684515432557795</v>
      </c>
    </row>
    <row r="307" spans="3:14">
      <c r="C307" s="95" t="s">
        <v>93</v>
      </c>
      <c r="D307" s="96" t="s">
        <v>11</v>
      </c>
      <c r="E307" s="363">
        <f>'1'!$I$47</f>
        <v>50.540599999999998</v>
      </c>
      <c r="F307" s="363">
        <f>'1'!$J$47</f>
        <v>80.022799999999989</v>
      </c>
      <c r="G307" s="363">
        <f>'1'!$K$47</f>
        <v>130.5634</v>
      </c>
      <c r="H307" s="101"/>
      <c r="I307" s="101"/>
      <c r="J307" s="99" t="e">
        <f>+'R1'!#REF!</f>
        <v>#REF!</v>
      </c>
      <c r="K307" s="99" t="e">
        <f t="shared" si="35"/>
        <v>#REF!</v>
      </c>
      <c r="L307" s="98"/>
      <c r="M307" s="98"/>
      <c r="N307" s="98"/>
    </row>
    <row r="308" spans="3:14">
      <c r="C308" s="95" t="s">
        <v>15</v>
      </c>
      <c r="D308" s="96" t="s">
        <v>11</v>
      </c>
      <c r="E308" s="363">
        <f>'1'!$I$48</f>
        <v>4.7102000000000004</v>
      </c>
      <c r="F308" s="363">
        <f>'1'!$J$48</f>
        <v>350.2515825443719</v>
      </c>
      <c r="G308" s="363">
        <f>'1'!$K$48</f>
        <v>354.96178254437189</v>
      </c>
      <c r="H308" s="100" t="e">
        <f>+I308/$D$77</f>
        <v>#REF!</v>
      </c>
      <c r="I308" s="99" t="e">
        <f>+'R1'!#REF!</f>
        <v>#REF!</v>
      </c>
      <c r="J308" s="99" t="e">
        <f>+'R1'!#REF!</f>
        <v>#REF!</v>
      </c>
      <c r="K308" s="99" t="e">
        <f t="shared" si="35"/>
        <v>#REF!</v>
      </c>
      <c r="L308" s="98">
        <f>'1'!AG48</f>
        <v>3.0904874028385678</v>
      </c>
      <c r="M308" s="98">
        <f>'1'!AH48</f>
        <v>313.75037248361986</v>
      </c>
      <c r="N308" s="98">
        <f>'1'!AI48</f>
        <v>316.84085988645842</v>
      </c>
    </row>
    <row r="309" spans="3:14">
      <c r="C309" s="103" t="s">
        <v>16</v>
      </c>
      <c r="D309" s="96" t="s">
        <v>11</v>
      </c>
      <c r="E309" s="376">
        <f>'1'!$I$49</f>
        <v>587.49607780000008</v>
      </c>
      <c r="F309" s="376">
        <f>'1'!$J$49</f>
        <v>513.97118254437191</v>
      </c>
      <c r="G309" s="376">
        <f>'1'!$K$49</f>
        <v>1101.4672603443719</v>
      </c>
      <c r="H309" s="101"/>
      <c r="I309" s="104" t="e">
        <f>SUM(I303:I308)</f>
        <v>#REF!</v>
      </c>
      <c r="J309" s="104" t="e">
        <f>SUM(J303:J308)</f>
        <v>#REF!</v>
      </c>
      <c r="K309" s="104" t="e">
        <f>SUM(K303:K308)</f>
        <v>#REF!</v>
      </c>
      <c r="L309" s="104">
        <f>'1'!AG49</f>
        <v>508.35618293423124</v>
      </c>
      <c r="M309" s="104">
        <f>'1'!AH49</f>
        <v>365.65291036636393</v>
      </c>
      <c r="N309" s="104">
        <f>'1'!AI49</f>
        <v>874.00909330059517</v>
      </c>
    </row>
    <row r="310" spans="3:14">
      <c r="C310" s="103" t="s">
        <v>24</v>
      </c>
      <c r="D310" s="231"/>
      <c r="E310" s="232"/>
      <c r="F310" s="232"/>
      <c r="G310" s="398"/>
      <c r="H310" s="232"/>
      <c r="I310" s="232"/>
      <c r="J310" s="233"/>
      <c r="K310" s="135" t="e">
        <f>+K309/#REF!</f>
        <v>#REF!</v>
      </c>
      <c r="L310" s="444"/>
      <c r="M310" s="445"/>
      <c r="N310" s="135">
        <f>N309/G309</f>
        <v>0.79349529919512785</v>
      </c>
    </row>
    <row r="313" spans="3:14">
      <c r="C313" s="275" t="s">
        <v>148</v>
      </c>
    </row>
    <row r="314" spans="3:14" ht="15" customHeight="1">
      <c r="C314" s="245" t="s">
        <v>7</v>
      </c>
      <c r="D314" s="241">
        <f>'10'!$C$29</f>
        <v>93000</v>
      </c>
      <c r="E314" s="446" t="s">
        <v>136</v>
      </c>
      <c r="F314" s="446"/>
      <c r="G314" s="446"/>
      <c r="L314" s="447" t="s">
        <v>137</v>
      </c>
      <c r="M314" s="448"/>
      <c r="N314" s="449"/>
    </row>
    <row r="315" spans="3:14">
      <c r="C315" s="103" t="s">
        <v>9</v>
      </c>
      <c r="D315" s="241">
        <f>'10'!$C$30</f>
        <v>850.08062827866866</v>
      </c>
      <c r="E315" s="446"/>
      <c r="F315" s="446"/>
      <c r="G315" s="446"/>
      <c r="H315" s="236"/>
      <c r="K315" s="237"/>
      <c r="L315" s="450"/>
      <c r="M315" s="451"/>
      <c r="N315" s="452"/>
    </row>
    <row r="316" spans="3:14" ht="45">
      <c r="C316" s="103"/>
      <c r="D316" s="247"/>
      <c r="E316" s="389" t="s">
        <v>60</v>
      </c>
      <c r="F316" s="390" t="s">
        <v>61</v>
      </c>
      <c r="G316" s="389" t="s">
        <v>62</v>
      </c>
      <c r="H316" s="391" t="s">
        <v>4</v>
      </c>
      <c r="I316" s="391" t="s">
        <v>5</v>
      </c>
      <c r="J316" s="392" t="s">
        <v>2</v>
      </c>
      <c r="K316" s="393" t="s">
        <v>6</v>
      </c>
      <c r="L316" s="389" t="s">
        <v>60</v>
      </c>
      <c r="M316" s="390" t="s">
        <v>61</v>
      </c>
      <c r="N316" s="389" t="s">
        <v>62</v>
      </c>
    </row>
    <row r="317" spans="3:14">
      <c r="C317" s="95" t="s">
        <v>10</v>
      </c>
      <c r="D317" s="96" t="s">
        <v>11</v>
      </c>
      <c r="E317" s="97">
        <f>'10'!$I$31</f>
        <v>943.80000000000007</v>
      </c>
      <c r="F317" s="97"/>
      <c r="G317" s="97">
        <f>'10'!$K$31</f>
        <v>943.80000000000007</v>
      </c>
      <c r="H317" s="136" t="e">
        <f>+'R1'!#REF!</f>
        <v>#REF!</v>
      </c>
      <c r="I317" s="119" t="e">
        <f>+'R1'!#REF!</f>
        <v>#REF!</v>
      </c>
      <c r="J317" s="99" t="e">
        <f>+'R1'!#REF!</f>
        <v>#REF!</v>
      </c>
      <c r="K317" s="99" t="e">
        <f>SUM(I317:J317)</f>
        <v>#REF!</v>
      </c>
      <c r="L317" s="98">
        <f>'10'!Q31</f>
        <v>349.17132188263611</v>
      </c>
      <c r="M317" s="98"/>
      <c r="N317" s="98">
        <f>'10'!S31</f>
        <v>349.17132188263611</v>
      </c>
    </row>
    <row r="318" spans="3:14">
      <c r="C318" s="95" t="s">
        <v>95</v>
      </c>
      <c r="D318" s="96" t="s">
        <v>11</v>
      </c>
      <c r="E318" s="97"/>
      <c r="F318" s="97"/>
      <c r="G318" s="97"/>
      <c r="H318" s="136"/>
      <c r="I318" s="119"/>
      <c r="J318" s="99"/>
      <c r="K318" s="99"/>
      <c r="L318" s="98">
        <f>'10'!Q32</f>
        <v>6375.450354829979</v>
      </c>
      <c r="M318" s="98">
        <f>'10'!R32</f>
        <v>104.303161383207</v>
      </c>
      <c r="N318" s="98">
        <f>'10'!S32</f>
        <v>6479.7535162131862</v>
      </c>
    </row>
    <row r="319" spans="3:14">
      <c r="C319" s="95" t="s">
        <v>138</v>
      </c>
      <c r="D319" s="96" t="s">
        <v>11</v>
      </c>
      <c r="E319" s="363">
        <f>'10'!$I$32</f>
        <v>7345.4590152600003</v>
      </c>
      <c r="F319" s="363">
        <f>'10'!$J$32</f>
        <v>27.621002969999999</v>
      </c>
      <c r="G319" s="363">
        <f>'10'!$K$32</f>
        <v>7373.08001823</v>
      </c>
      <c r="H319" s="101"/>
      <c r="I319" s="101"/>
      <c r="J319" s="99" t="e">
        <f>+'R1'!#REF!</f>
        <v>#REF!</v>
      </c>
      <c r="K319" s="99" t="e">
        <f t="shared" ref="K319:K322" si="36">SUM(I319:J319)</f>
        <v>#REF!</v>
      </c>
      <c r="L319" s="98">
        <f>'10'!Q33</f>
        <v>0</v>
      </c>
      <c r="M319" s="98">
        <f>'10'!R33</f>
        <v>359.83176076244519</v>
      </c>
      <c r="N319" s="98">
        <f>'10'!S33</f>
        <v>359.83176076244519</v>
      </c>
    </row>
    <row r="320" spans="3:14">
      <c r="C320" s="95" t="s">
        <v>14</v>
      </c>
      <c r="D320" s="96" t="s">
        <v>11</v>
      </c>
      <c r="E320" s="363">
        <f>'10'!$I$33</f>
        <v>-378.04500000000002</v>
      </c>
      <c r="F320" s="363">
        <f>'10'!$J$33</f>
        <v>3056.4450000000006</v>
      </c>
      <c r="G320" s="363">
        <f>'10'!$K$33</f>
        <v>2678.4000000000005</v>
      </c>
      <c r="H320" s="101"/>
      <c r="I320" s="101"/>
      <c r="J320" s="99" t="e">
        <f>+'R1'!#REF!</f>
        <v>#REF!</v>
      </c>
      <c r="K320" s="99" t="e">
        <f t="shared" si="36"/>
        <v>#REF!</v>
      </c>
      <c r="L320" s="98">
        <f>'10'!Q34</f>
        <v>-76.289815794590467</v>
      </c>
      <c r="M320" s="98">
        <f>'10'!R34</f>
        <v>1546.7041407407867</v>
      </c>
      <c r="N320" s="98">
        <f>'10'!S34</f>
        <v>1470.4143249461963</v>
      </c>
    </row>
    <row r="321" spans="3:14">
      <c r="C321" s="95" t="s">
        <v>93</v>
      </c>
      <c r="D321" s="96" t="s">
        <v>11</v>
      </c>
      <c r="E321" s="363">
        <f>'10'!$I$34</f>
        <v>1372.587</v>
      </c>
      <c r="F321" s="363">
        <f>'10'!$J$34</f>
        <v>275.83799999999968</v>
      </c>
      <c r="G321" s="363">
        <f>'10'!$K$34</f>
        <v>1648.4249999999997</v>
      </c>
      <c r="H321" s="101"/>
      <c r="I321" s="101"/>
      <c r="J321" s="99" t="e">
        <f>+'R1'!#REF!</f>
        <v>#REF!</v>
      </c>
      <c r="K321" s="99" t="e">
        <f t="shared" si="36"/>
        <v>#REF!</v>
      </c>
      <c r="L321" s="98"/>
      <c r="M321" s="98"/>
      <c r="N321" s="98"/>
    </row>
    <row r="322" spans="3:14">
      <c r="C322" s="95" t="s">
        <v>15</v>
      </c>
      <c r="D322" s="96" t="s">
        <v>11</v>
      </c>
      <c r="E322" s="363">
        <f>'10'!$I$35</f>
        <v>199.113</v>
      </c>
      <c r="F322" s="363">
        <f>'10'!$J$35</f>
        <v>10026.329999999998</v>
      </c>
      <c r="G322" s="363">
        <f>'10'!$K$35</f>
        <v>10225.442999999997</v>
      </c>
      <c r="H322" s="100" t="e">
        <f>+I322/$D$77</f>
        <v>#REF!</v>
      </c>
      <c r="I322" s="99" t="e">
        <f>+'R1'!#REF!</f>
        <v>#REF!</v>
      </c>
      <c r="J322" s="99" t="e">
        <f>+'R1'!#REF!</f>
        <v>#REF!</v>
      </c>
      <c r="K322" s="99" t="e">
        <f t="shared" si="36"/>
        <v>#REF!</v>
      </c>
      <c r="L322" s="98">
        <f>'10'!Q35</f>
        <v>130.64333111999406</v>
      </c>
      <c r="M322" s="98">
        <f>'10'!R35</f>
        <v>13263.083927716654</v>
      </c>
      <c r="N322" s="98">
        <f>'10'!S35</f>
        <v>13393.727258836649</v>
      </c>
    </row>
    <row r="323" spans="3:14">
      <c r="C323" s="103" t="s">
        <v>16</v>
      </c>
      <c r="D323" s="96" t="s">
        <v>11</v>
      </c>
      <c r="E323" s="376">
        <f>'10'!$I$36</f>
        <v>9482.9140152599994</v>
      </c>
      <c r="F323" s="376">
        <f>'10'!$J$36</f>
        <v>13386.234002969999</v>
      </c>
      <c r="G323" s="376">
        <f>'10'!$K$36</f>
        <v>22869.14801823</v>
      </c>
      <c r="H323" s="101"/>
      <c r="I323" s="104" t="e">
        <f>SUM(I317:I322)</f>
        <v>#REF!</v>
      </c>
      <c r="J323" s="104" t="e">
        <f>SUM(J317:J322)</f>
        <v>#REF!</v>
      </c>
      <c r="K323" s="104" t="e">
        <f>SUM(K317:K322)</f>
        <v>#REF!</v>
      </c>
      <c r="L323" s="104">
        <f>'10'!Q36</f>
        <v>6778.9751920380195</v>
      </c>
      <c r="M323" s="104">
        <f>'10'!R36</f>
        <v>15273.922990603092</v>
      </c>
      <c r="N323" s="104">
        <f>'10'!S36</f>
        <v>22052.898182641111</v>
      </c>
    </row>
    <row r="324" spans="3:14">
      <c r="C324" s="103" t="s">
        <v>24</v>
      </c>
      <c r="D324" s="231"/>
      <c r="E324" s="232"/>
      <c r="F324" s="232"/>
      <c r="G324" s="398"/>
      <c r="H324" s="232"/>
      <c r="I324" s="232"/>
      <c r="J324" s="233"/>
      <c r="K324" s="135" t="e">
        <f>+K323/#REF!</f>
        <v>#REF!</v>
      </c>
      <c r="L324" s="444"/>
      <c r="M324" s="445"/>
      <c r="N324" s="135">
        <f>N323/G323</f>
        <v>0.96430781614871608</v>
      </c>
    </row>
    <row r="327" spans="3:14" ht="15" customHeight="1">
      <c r="C327" s="245" t="s">
        <v>7</v>
      </c>
      <c r="D327" s="241">
        <f>'10'!$C$29</f>
        <v>93000</v>
      </c>
      <c r="E327" s="446" t="s">
        <v>136</v>
      </c>
      <c r="F327" s="446"/>
      <c r="G327" s="446"/>
      <c r="L327" s="447" t="s">
        <v>140</v>
      </c>
      <c r="M327" s="448"/>
      <c r="N327" s="449"/>
    </row>
    <row r="328" spans="3:14">
      <c r="C328" s="103" t="s">
        <v>9</v>
      </c>
      <c r="D328" s="241">
        <f>'10'!$C$30</f>
        <v>850.08062827866866</v>
      </c>
      <c r="E328" s="446"/>
      <c r="F328" s="446"/>
      <c r="G328" s="446"/>
      <c r="H328" s="236"/>
      <c r="K328" s="237"/>
      <c r="L328" s="450"/>
      <c r="M328" s="451"/>
      <c r="N328" s="452"/>
    </row>
    <row r="329" spans="3:14" ht="45">
      <c r="C329" s="103"/>
      <c r="D329" s="247"/>
      <c r="E329" s="389" t="s">
        <v>60</v>
      </c>
      <c r="F329" s="390" t="s">
        <v>61</v>
      </c>
      <c r="G329" s="389" t="s">
        <v>62</v>
      </c>
      <c r="H329" s="391" t="s">
        <v>4</v>
      </c>
      <c r="I329" s="391" t="s">
        <v>5</v>
      </c>
      <c r="J329" s="392" t="s">
        <v>2</v>
      </c>
      <c r="K329" s="393" t="s">
        <v>6</v>
      </c>
      <c r="L329" s="389" t="s">
        <v>60</v>
      </c>
      <c r="M329" s="390" t="s">
        <v>61</v>
      </c>
      <c r="N329" s="389" t="s">
        <v>62</v>
      </c>
    </row>
    <row r="330" spans="3:14">
      <c r="C330" s="95" t="s">
        <v>10</v>
      </c>
      <c r="D330" s="96" t="s">
        <v>11</v>
      </c>
      <c r="E330" s="97">
        <f>'10'!$I$31</f>
        <v>943.80000000000007</v>
      </c>
      <c r="F330" s="97"/>
      <c r="G330" s="97">
        <f>'10'!$K$31</f>
        <v>943.80000000000007</v>
      </c>
      <c r="H330" s="136" t="e">
        <f>+'R1'!#REF!</f>
        <v>#REF!</v>
      </c>
      <c r="I330" s="119" t="e">
        <f>+'R1'!#REF!</f>
        <v>#REF!</v>
      </c>
      <c r="J330" s="99" t="e">
        <f>+'R1'!#REF!</f>
        <v>#REF!</v>
      </c>
      <c r="K330" s="99" t="e">
        <f>SUM(I330:J330)</f>
        <v>#REF!</v>
      </c>
      <c r="L330" s="98">
        <f>'10'!Y31</f>
        <v>6022.6879026300103</v>
      </c>
      <c r="M330" s="98">
        <f>'10'!Z31</f>
        <v>92.819437466669029</v>
      </c>
      <c r="N330" s="98">
        <f>'10'!AA31</f>
        <v>6115.5073400966794</v>
      </c>
    </row>
    <row r="331" spans="3:14">
      <c r="C331" s="95" t="s">
        <v>95</v>
      </c>
      <c r="D331" s="96" t="s">
        <v>11</v>
      </c>
      <c r="E331" s="97"/>
      <c r="F331" s="97"/>
      <c r="G331" s="97"/>
      <c r="H331" s="136"/>
      <c r="I331" s="119"/>
      <c r="J331" s="99"/>
      <c r="K331" s="99"/>
      <c r="L331" s="98"/>
      <c r="M331" s="98"/>
      <c r="N331" s="98"/>
    </row>
    <row r="332" spans="3:14">
      <c r="C332" s="95" t="s">
        <v>138</v>
      </c>
      <c r="D332" s="96" t="s">
        <v>11</v>
      </c>
      <c r="E332" s="363">
        <f>'10'!$I$32</f>
        <v>7345.4590152600003</v>
      </c>
      <c r="F332" s="363">
        <f>'10'!$J$32</f>
        <v>27.621002969999999</v>
      </c>
      <c r="G332" s="363">
        <f>'10'!$K$32</f>
        <v>7373.08001823</v>
      </c>
      <c r="H332" s="101"/>
      <c r="I332" s="101"/>
      <c r="J332" s="99" t="e">
        <f>+'R1'!#REF!</f>
        <v>#REF!</v>
      </c>
      <c r="K332" s="99" t="e">
        <f t="shared" ref="K332:K335" si="37">SUM(I332:J332)</f>
        <v>#REF!</v>
      </c>
      <c r="L332" s="98">
        <f>'10'!Y33</f>
        <v>0</v>
      </c>
      <c r="M332" s="98">
        <f>'10'!Z33</f>
        <v>359.83176076244519</v>
      </c>
      <c r="N332" s="98">
        <f>'10'!AA33</f>
        <v>359.83176076244519</v>
      </c>
    </row>
    <row r="333" spans="3:14">
      <c r="C333" s="95" t="s">
        <v>14</v>
      </c>
      <c r="D333" s="96" t="s">
        <v>11</v>
      </c>
      <c r="E333" s="363">
        <f>'10'!$I$33</f>
        <v>-378.04500000000002</v>
      </c>
      <c r="F333" s="363">
        <f>'10'!$J$33</f>
        <v>3056.4450000000006</v>
      </c>
      <c r="G333" s="363">
        <f>'10'!$K$33</f>
        <v>2678.4000000000005</v>
      </c>
      <c r="H333" s="101"/>
      <c r="I333" s="101"/>
      <c r="J333" s="99" t="e">
        <f>+'R1'!#REF!</f>
        <v>#REF!</v>
      </c>
      <c r="K333" s="99" t="e">
        <f t="shared" si="37"/>
        <v>#REF!</v>
      </c>
      <c r="L333" s="98">
        <f>'10'!Y34</f>
        <v>-76.289815794590467</v>
      </c>
      <c r="M333" s="98">
        <f>'10'!Z34</f>
        <v>1546.7041407407867</v>
      </c>
      <c r="N333" s="98">
        <f>'10'!AA34</f>
        <v>1470.4143249461963</v>
      </c>
    </row>
    <row r="334" spans="3:14">
      <c r="C334" s="95" t="s">
        <v>93</v>
      </c>
      <c r="D334" s="96" t="s">
        <v>11</v>
      </c>
      <c r="E334" s="363">
        <f>'10'!$I$34</f>
        <v>1372.587</v>
      </c>
      <c r="F334" s="363">
        <f>'10'!$J$34</f>
        <v>275.83799999999968</v>
      </c>
      <c r="G334" s="363">
        <f>'10'!$K$34</f>
        <v>1648.4249999999997</v>
      </c>
      <c r="H334" s="101"/>
      <c r="I334" s="101"/>
      <c r="J334" s="99" t="e">
        <f>+'R1'!#REF!</f>
        <v>#REF!</v>
      </c>
      <c r="K334" s="99" t="e">
        <f t="shared" si="37"/>
        <v>#REF!</v>
      </c>
      <c r="L334" s="98"/>
      <c r="M334" s="98"/>
      <c r="N334" s="98"/>
    </row>
    <row r="335" spans="3:14">
      <c r="C335" s="95" t="s">
        <v>15</v>
      </c>
      <c r="D335" s="96" t="s">
        <v>11</v>
      </c>
      <c r="E335" s="363">
        <f>'10'!$I$35</f>
        <v>199.113</v>
      </c>
      <c r="F335" s="363">
        <f>'10'!$J$35</f>
        <v>10026.329999999998</v>
      </c>
      <c r="G335" s="363">
        <f>'10'!$K$35</f>
        <v>10225.442999999997</v>
      </c>
      <c r="H335" s="100" t="e">
        <f>+I335/$D$77</f>
        <v>#REF!</v>
      </c>
      <c r="I335" s="99" t="e">
        <f>+'R1'!#REF!</f>
        <v>#REF!</v>
      </c>
      <c r="J335" s="99" t="e">
        <f>+'R1'!#REF!</f>
        <v>#REF!</v>
      </c>
      <c r="K335" s="99" t="e">
        <f t="shared" si="37"/>
        <v>#REF!</v>
      </c>
      <c r="L335" s="98">
        <f>'10'!Y35</f>
        <v>130.64333111999406</v>
      </c>
      <c r="M335" s="98">
        <f>'10'!Z35</f>
        <v>13263.083927716654</v>
      </c>
      <c r="N335" s="98">
        <f>'10'!AA35</f>
        <v>13393.727258836649</v>
      </c>
    </row>
    <row r="336" spans="3:14">
      <c r="C336" s="103" t="s">
        <v>16</v>
      </c>
      <c r="D336" s="96" t="s">
        <v>11</v>
      </c>
      <c r="E336" s="376">
        <f>'10'!$I$36</f>
        <v>9482.9140152599994</v>
      </c>
      <c r="F336" s="376">
        <f>'10'!$J$36</f>
        <v>13386.234002969999</v>
      </c>
      <c r="G336" s="376">
        <f>'10'!$K$36</f>
        <v>22869.14801823</v>
      </c>
      <c r="H336" s="101"/>
      <c r="I336" s="104" t="e">
        <f>SUM(I330:I335)</f>
        <v>#REF!</v>
      </c>
      <c r="J336" s="104" t="e">
        <f>SUM(J330:J335)</f>
        <v>#REF!</v>
      </c>
      <c r="K336" s="104" t="e">
        <f>SUM(K330:K335)</f>
        <v>#REF!</v>
      </c>
      <c r="L336" s="104">
        <f>'10'!Y36</f>
        <v>6077.0414179554145</v>
      </c>
      <c r="M336" s="104">
        <f>'10'!Z36</f>
        <v>15262.439266686555</v>
      </c>
      <c r="N336" s="104">
        <f>'10'!AA36</f>
        <v>21339.480684641967</v>
      </c>
    </row>
    <row r="337" spans="3:15">
      <c r="C337" s="103" t="s">
        <v>24</v>
      </c>
      <c r="D337" s="231"/>
      <c r="E337" s="232"/>
      <c r="F337" s="232"/>
      <c r="G337" s="398"/>
      <c r="H337" s="232"/>
      <c r="I337" s="232"/>
      <c r="J337" s="233"/>
      <c r="K337" s="135" t="e">
        <f>+K336/#REF!</f>
        <v>#REF!</v>
      </c>
      <c r="L337" s="444"/>
      <c r="M337" s="445"/>
      <c r="N337" s="135">
        <f>N336/G336</f>
        <v>0.93311218536131435</v>
      </c>
    </row>
    <row r="340" spans="3:15" ht="15" customHeight="1">
      <c r="C340" s="245" t="s">
        <v>7</v>
      </c>
      <c r="D340" s="241">
        <f>'10'!$C$29</f>
        <v>93000</v>
      </c>
      <c r="E340" s="446" t="s">
        <v>136</v>
      </c>
      <c r="F340" s="446"/>
      <c r="G340" s="446"/>
      <c r="L340" s="447" t="s">
        <v>142</v>
      </c>
      <c r="M340" s="448"/>
      <c r="N340" s="449"/>
    </row>
    <row r="341" spans="3:15">
      <c r="C341" s="103" t="s">
        <v>9</v>
      </c>
      <c r="D341" s="241">
        <f>'10'!$C$30</f>
        <v>850.08062827866866</v>
      </c>
      <c r="E341" s="446"/>
      <c r="F341" s="446"/>
      <c r="G341" s="446"/>
      <c r="H341" s="236"/>
      <c r="K341" s="237"/>
      <c r="L341" s="450"/>
      <c r="M341" s="451"/>
      <c r="N341" s="452"/>
    </row>
    <row r="342" spans="3:15" ht="45">
      <c r="C342" s="103"/>
      <c r="D342" s="247"/>
      <c r="E342" s="389" t="s">
        <v>60</v>
      </c>
      <c r="F342" s="390" t="s">
        <v>61</v>
      </c>
      <c r="G342" s="389" t="s">
        <v>62</v>
      </c>
      <c r="H342" s="391" t="s">
        <v>4</v>
      </c>
      <c r="I342" s="391" t="s">
        <v>5</v>
      </c>
      <c r="J342" s="392" t="s">
        <v>2</v>
      </c>
      <c r="K342" s="393" t="s">
        <v>6</v>
      </c>
      <c r="L342" s="389" t="s">
        <v>60</v>
      </c>
      <c r="M342" s="390" t="s">
        <v>61</v>
      </c>
      <c r="N342" s="389" t="s">
        <v>62</v>
      </c>
    </row>
    <row r="343" spans="3:15">
      <c r="C343" s="95" t="s">
        <v>10</v>
      </c>
      <c r="D343" s="96" t="s">
        <v>11</v>
      </c>
      <c r="E343" s="97">
        <f>'10'!$I$31</f>
        <v>943.80000000000007</v>
      </c>
      <c r="F343" s="97"/>
      <c r="G343" s="97">
        <f>'10'!$K$31</f>
        <v>943.80000000000007</v>
      </c>
      <c r="H343" s="136" t="e">
        <f>+'R1'!#REF!</f>
        <v>#REF!</v>
      </c>
      <c r="I343" s="119" t="e">
        <f>+'R1'!#REF!</f>
        <v>#REF!</v>
      </c>
      <c r="J343" s="99" t="e">
        <f>+'R1'!#REF!</f>
        <v>#REF!</v>
      </c>
      <c r="K343" s="99" t="e">
        <f>SUM(I343:J343)</f>
        <v>#REF!</v>
      </c>
      <c r="L343" s="383">
        <f>'10'!AG31</f>
        <v>349.20000000000005</v>
      </c>
      <c r="M343" s="383"/>
      <c r="N343" s="377">
        <f>'10'!AI31</f>
        <v>349.20000000000005</v>
      </c>
      <c r="O343" s="236"/>
    </row>
    <row r="344" spans="3:15">
      <c r="C344" s="95" t="s">
        <v>95</v>
      </c>
      <c r="D344" s="96" t="s">
        <v>11</v>
      </c>
      <c r="E344" s="97"/>
      <c r="F344" s="97"/>
      <c r="G344" s="97"/>
      <c r="H344" s="136"/>
      <c r="I344" s="119"/>
      <c r="J344" s="99"/>
      <c r="K344" s="99"/>
      <c r="L344" s="98"/>
      <c r="M344" s="98"/>
      <c r="N344" s="98"/>
    </row>
    <row r="345" spans="3:15">
      <c r="C345" s="95" t="s">
        <v>138</v>
      </c>
      <c r="D345" s="96" t="s">
        <v>11</v>
      </c>
      <c r="E345" s="363">
        <f>'10'!$I$32</f>
        <v>7345.4590152600003</v>
      </c>
      <c r="F345" s="363">
        <f>'10'!$J$32</f>
        <v>27.621002969999999</v>
      </c>
      <c r="G345" s="363">
        <f>'10'!$K$32</f>
        <v>7373.08001823</v>
      </c>
      <c r="H345" s="101"/>
      <c r="I345" s="101"/>
      <c r="J345" s="99" t="e">
        <f>+'R1'!#REF!</f>
        <v>#REF!</v>
      </c>
      <c r="K345" s="99" t="e">
        <f t="shared" ref="K345:K348" si="38">SUM(I345:J345)</f>
        <v>#REF!</v>
      </c>
      <c r="L345" s="98">
        <f>'10'!AG33</f>
        <v>6833.9409309245166</v>
      </c>
      <c r="M345" s="98">
        <f>'10'!AH33</f>
        <v>471.63588504074215</v>
      </c>
      <c r="N345" s="98">
        <f>'10'!AI33</f>
        <v>7305.5768159652589</v>
      </c>
    </row>
    <row r="346" spans="3:15">
      <c r="C346" s="95" t="s">
        <v>14</v>
      </c>
      <c r="D346" s="96" t="s">
        <v>11</v>
      </c>
      <c r="E346" s="363">
        <f>'10'!$I$33</f>
        <v>-378.04500000000002</v>
      </c>
      <c r="F346" s="363">
        <f>'10'!$J$33</f>
        <v>3056.4450000000006</v>
      </c>
      <c r="G346" s="363">
        <f>'10'!$K$33</f>
        <v>2678.4000000000005</v>
      </c>
      <c r="H346" s="101"/>
      <c r="I346" s="101"/>
      <c r="J346" s="99" t="e">
        <f>+'R1'!#REF!</f>
        <v>#REF!</v>
      </c>
      <c r="K346" s="99" t="e">
        <f t="shared" si="38"/>
        <v>#REF!</v>
      </c>
      <c r="L346" s="98">
        <f>'10'!AG34</f>
        <v>-76.289815794590467</v>
      </c>
      <c r="M346" s="98">
        <f>'10'!AH34</f>
        <v>1546.7041407407867</v>
      </c>
      <c r="N346" s="98">
        <f>'10'!AI34</f>
        <v>1470.4143249461963</v>
      </c>
    </row>
    <row r="347" spans="3:15">
      <c r="C347" s="95" t="s">
        <v>93</v>
      </c>
      <c r="D347" s="96" t="s">
        <v>11</v>
      </c>
      <c r="E347" s="363">
        <f>'10'!$I$34</f>
        <v>1372.587</v>
      </c>
      <c r="F347" s="363">
        <f>'10'!$J$34</f>
        <v>275.83799999999968</v>
      </c>
      <c r="G347" s="363">
        <f>'10'!$K$34</f>
        <v>1648.4249999999997</v>
      </c>
      <c r="H347" s="101"/>
      <c r="I347" s="101"/>
      <c r="J347" s="99" t="e">
        <f>+'R1'!#REF!</f>
        <v>#REF!</v>
      </c>
      <c r="K347" s="99" t="e">
        <f t="shared" si="38"/>
        <v>#REF!</v>
      </c>
      <c r="L347" s="98"/>
      <c r="M347" s="98"/>
      <c r="N347" s="98"/>
    </row>
    <row r="348" spans="3:15">
      <c r="C348" s="95" t="s">
        <v>15</v>
      </c>
      <c r="D348" s="96" t="s">
        <v>11</v>
      </c>
      <c r="E348" s="363">
        <f>'10'!$I$35</f>
        <v>199.113</v>
      </c>
      <c r="F348" s="363">
        <f>'10'!$J$35</f>
        <v>10026.329999999998</v>
      </c>
      <c r="G348" s="363">
        <f>'10'!$K$35</f>
        <v>10225.442999999997</v>
      </c>
      <c r="H348" s="100" t="e">
        <f>+I348/$D$77</f>
        <v>#REF!</v>
      </c>
      <c r="I348" s="99" t="e">
        <f>+'R1'!#REF!</f>
        <v>#REF!</v>
      </c>
      <c r="J348" s="99" t="e">
        <f>+'R1'!#REF!</f>
        <v>#REF!</v>
      </c>
      <c r="K348" s="99" t="e">
        <f t="shared" si="38"/>
        <v>#REF!</v>
      </c>
      <c r="L348" s="98">
        <f>'10'!AG35</f>
        <v>130.64333111999406</v>
      </c>
      <c r="M348" s="98">
        <f>'10'!AH35</f>
        <v>13263.083927716654</v>
      </c>
      <c r="N348" s="98">
        <f>'10'!AI35</f>
        <v>13393.727258836649</v>
      </c>
    </row>
    <row r="349" spans="3:15">
      <c r="C349" s="103" t="s">
        <v>16</v>
      </c>
      <c r="D349" s="96" t="s">
        <v>11</v>
      </c>
      <c r="E349" s="376">
        <f>'10'!$I$36</f>
        <v>9482.9140152599994</v>
      </c>
      <c r="F349" s="376">
        <f>'10'!$J$36</f>
        <v>13386.234002969999</v>
      </c>
      <c r="G349" s="376">
        <f>'10'!$K$36</f>
        <v>22869.14801823</v>
      </c>
      <c r="H349" s="101"/>
      <c r="I349" s="104" t="e">
        <f>SUM(I343:I348)</f>
        <v>#REF!</v>
      </c>
      <c r="J349" s="104" t="e">
        <f>SUM(J343:J348)</f>
        <v>#REF!</v>
      </c>
      <c r="K349" s="104" t="e">
        <f>SUM(K343:K348)</f>
        <v>#REF!</v>
      </c>
      <c r="L349" s="104">
        <f>'10'!AG36</f>
        <v>7237.4944462499207</v>
      </c>
      <c r="M349" s="104">
        <f>'10'!AH36</f>
        <v>15281.423953498183</v>
      </c>
      <c r="N349" s="104">
        <f>'10'!AI36</f>
        <v>22518.918399748101</v>
      </c>
    </row>
    <row r="350" spans="3:15">
      <c r="C350" s="103" t="s">
        <v>24</v>
      </c>
      <c r="D350" s="231"/>
      <c r="E350" s="232"/>
      <c r="F350" s="232"/>
      <c r="G350" s="398"/>
      <c r="H350" s="232"/>
      <c r="I350" s="232"/>
      <c r="J350" s="233"/>
      <c r="K350" s="135" t="e">
        <f>+K349/#REF!</f>
        <v>#REF!</v>
      </c>
      <c r="L350" s="444"/>
      <c r="M350" s="445"/>
      <c r="N350" s="135">
        <f>N349/G349</f>
        <v>0.98468549776306857</v>
      </c>
    </row>
    <row r="353" spans="3:14">
      <c r="C353" s="275" t="s">
        <v>149</v>
      </c>
    </row>
    <row r="354" spans="3:14" ht="15" customHeight="1">
      <c r="C354" s="245" t="s">
        <v>7</v>
      </c>
      <c r="D354" s="241">
        <f>'10'!$C$29</f>
        <v>93000</v>
      </c>
      <c r="E354" s="446" t="s">
        <v>136</v>
      </c>
      <c r="F354" s="446"/>
      <c r="G354" s="446"/>
      <c r="L354" s="447" t="s">
        <v>137</v>
      </c>
      <c r="M354" s="448"/>
      <c r="N354" s="449"/>
    </row>
    <row r="355" spans="3:14">
      <c r="C355" s="103" t="s">
        <v>9</v>
      </c>
      <c r="D355" s="241">
        <f>'10'!$C$30</f>
        <v>850.08062827866866</v>
      </c>
      <c r="E355" s="446"/>
      <c r="F355" s="446"/>
      <c r="G355" s="446"/>
      <c r="H355" s="236"/>
      <c r="K355" s="237"/>
      <c r="L355" s="450"/>
      <c r="M355" s="451"/>
      <c r="N355" s="452"/>
    </row>
    <row r="356" spans="3:14" ht="45">
      <c r="C356" s="103"/>
      <c r="D356" s="247"/>
      <c r="E356" s="389" t="s">
        <v>60</v>
      </c>
      <c r="F356" s="390" t="s">
        <v>61</v>
      </c>
      <c r="G356" s="389" t="s">
        <v>62</v>
      </c>
      <c r="H356" s="391" t="s">
        <v>4</v>
      </c>
      <c r="I356" s="391" t="s">
        <v>5</v>
      </c>
      <c r="J356" s="392" t="s">
        <v>2</v>
      </c>
      <c r="K356" s="393" t="s">
        <v>6</v>
      </c>
      <c r="L356" s="389" t="s">
        <v>60</v>
      </c>
      <c r="M356" s="390" t="s">
        <v>61</v>
      </c>
      <c r="N356" s="389" t="s">
        <v>62</v>
      </c>
    </row>
    <row r="357" spans="3:14">
      <c r="C357" s="95" t="s">
        <v>10</v>
      </c>
      <c r="D357" s="96" t="s">
        <v>11</v>
      </c>
      <c r="E357" s="97">
        <f>'10'!$I$45</f>
        <v>943.80000000000007</v>
      </c>
      <c r="F357" s="97"/>
      <c r="G357" s="97">
        <f>'10'!$K$45</f>
        <v>943.80000000000007</v>
      </c>
      <c r="H357" s="97">
        <f>'10'!L45</f>
        <v>0</v>
      </c>
      <c r="I357" s="97">
        <f>'10'!M45</f>
        <v>0</v>
      </c>
      <c r="J357" s="97" t="str">
        <f>'10'!N45</f>
        <v>Monthly Customer Charge ($/mo)</v>
      </c>
      <c r="K357" s="97" t="str">
        <f>'10'!O45</f>
        <v>$</v>
      </c>
      <c r="L357" s="98">
        <f>'10'!Q45</f>
        <v>349.17132188263611</v>
      </c>
      <c r="M357" s="98">
        <f>'10'!R45</f>
        <v>0</v>
      </c>
      <c r="N357" s="98">
        <f>'10'!S45</f>
        <v>349.17132188263611</v>
      </c>
    </row>
    <row r="358" spans="3:14">
      <c r="C358" s="95" t="s">
        <v>95</v>
      </c>
      <c r="D358" s="96" t="s">
        <v>11</v>
      </c>
      <c r="E358" s="97"/>
      <c r="F358" s="97"/>
      <c r="G358" s="97"/>
      <c r="H358" s="136"/>
      <c r="I358" s="119"/>
      <c r="J358" s="99"/>
      <c r="K358" s="99"/>
      <c r="L358" s="98">
        <f>'10'!Q46</f>
        <v>6375.450354829979</v>
      </c>
      <c r="M358" s="98">
        <f>'10'!R46</f>
        <v>104.303161383207</v>
      </c>
      <c r="N358" s="98">
        <f>'10'!S46</f>
        <v>6479.7535162131862</v>
      </c>
    </row>
    <row r="359" spans="3:14">
      <c r="C359" s="95" t="s">
        <v>138</v>
      </c>
      <c r="D359" s="96" t="s">
        <v>11</v>
      </c>
      <c r="E359" s="363">
        <f>'10'!$I$46</f>
        <v>7345.4590152600003</v>
      </c>
      <c r="F359" s="363">
        <f>'10'!$J$46</f>
        <v>27.621002969999999</v>
      </c>
      <c r="G359" s="363">
        <f>'10'!$K$46</f>
        <v>7373.08001823</v>
      </c>
      <c r="H359" s="101"/>
      <c r="I359" s="101"/>
      <c r="J359" s="99" t="e">
        <f>+'R1'!#REF!</f>
        <v>#REF!</v>
      </c>
      <c r="K359" s="99" t="e">
        <f t="shared" ref="K359:K362" si="39">SUM(I359:J359)</f>
        <v>#REF!</v>
      </c>
      <c r="L359" s="98">
        <f>'10'!Q47</f>
        <v>0</v>
      </c>
      <c r="M359" s="98">
        <f>'10'!R47</f>
        <v>359.83176076244519</v>
      </c>
      <c r="N359" s="98">
        <f>'10'!S47</f>
        <v>359.83176076244519</v>
      </c>
    </row>
    <row r="360" spans="3:14">
      <c r="C360" s="95" t="s">
        <v>14</v>
      </c>
      <c r="D360" s="96" t="s">
        <v>11</v>
      </c>
      <c r="E360" s="363">
        <f>'10'!$I$47</f>
        <v>-378.04500000000002</v>
      </c>
      <c r="F360" s="363">
        <f>'10'!$J$47</f>
        <v>3056.4450000000006</v>
      </c>
      <c r="G360" s="363">
        <f>'10'!$K$47</f>
        <v>2678.4000000000005</v>
      </c>
      <c r="H360" s="101"/>
      <c r="I360" s="101"/>
      <c r="J360" s="99" t="e">
        <f>+'R1'!#REF!</f>
        <v>#REF!</v>
      </c>
      <c r="K360" s="99" t="e">
        <f t="shared" si="39"/>
        <v>#REF!</v>
      </c>
      <c r="L360" s="98">
        <f>'10'!Q48</f>
        <v>-76.289815794590467</v>
      </c>
      <c r="M360" s="98">
        <f>'10'!R48</f>
        <v>1546.7041407407867</v>
      </c>
      <c r="N360" s="98">
        <f>'10'!S48</f>
        <v>1470.4143249461963</v>
      </c>
    </row>
    <row r="361" spans="3:14">
      <c r="C361" s="95" t="s">
        <v>93</v>
      </c>
      <c r="D361" s="96" t="s">
        <v>11</v>
      </c>
      <c r="E361" s="363">
        <f>'10'!$I$48</f>
        <v>1596.345</v>
      </c>
      <c r="F361" s="363">
        <f>'10'!$J$48</f>
        <v>2529.6930000000011</v>
      </c>
      <c r="G361" s="363">
        <f>'10'!$K$48</f>
        <v>4126.0380000000014</v>
      </c>
      <c r="H361" s="101"/>
      <c r="I361" s="101"/>
      <c r="J361" s="99" t="e">
        <f>+'R1'!#REF!</f>
        <v>#REF!</v>
      </c>
      <c r="K361" s="99" t="e">
        <f t="shared" si="39"/>
        <v>#REF!</v>
      </c>
      <c r="L361" s="98"/>
      <c r="M361" s="98"/>
      <c r="N361" s="98"/>
    </row>
    <row r="362" spans="3:14">
      <c r="C362" s="95" t="s">
        <v>15</v>
      </c>
      <c r="D362" s="96" t="s">
        <v>11</v>
      </c>
      <c r="E362" s="382">
        <f>'10'!$I$49</f>
        <v>199.113</v>
      </c>
      <c r="F362" s="363">
        <f>'10'!$J$49</f>
        <v>14806.089625739358</v>
      </c>
      <c r="G362" s="363">
        <f>'10'!$K$49</f>
        <v>15005.202625739357</v>
      </c>
      <c r="H362" s="100" t="e">
        <f>+I362/$D$77</f>
        <v>#REF!</v>
      </c>
      <c r="I362" s="99" t="e">
        <f>+'R1'!#REF!</f>
        <v>#REF!</v>
      </c>
      <c r="J362" s="99" t="e">
        <f>+'R1'!#REF!</f>
        <v>#REF!</v>
      </c>
      <c r="K362" s="99" t="e">
        <f t="shared" si="39"/>
        <v>#REF!</v>
      </c>
      <c r="L362" s="98">
        <f>'10'!Q49</f>
        <v>130.64333111999406</v>
      </c>
      <c r="M362" s="98">
        <f>'10'!R49</f>
        <v>13263.083927716654</v>
      </c>
      <c r="N362" s="98">
        <f>'10'!S49</f>
        <v>13393.727258836649</v>
      </c>
    </row>
    <row r="363" spans="3:14">
      <c r="C363" s="103" t="s">
        <v>16</v>
      </c>
      <c r="D363" s="96" t="s">
        <v>11</v>
      </c>
      <c r="E363" s="376">
        <f>'10'!$I$50</f>
        <v>9706.6720152599992</v>
      </c>
      <c r="F363" s="376">
        <f>'10'!$J$50</f>
        <v>20419.848628709362</v>
      </c>
      <c r="G363" s="376">
        <f>'10'!$K$50</f>
        <v>30126.520643969357</v>
      </c>
      <c r="H363" s="101"/>
      <c r="I363" s="104" t="e">
        <f>SUM(I357:I362)</f>
        <v>#REF!</v>
      </c>
      <c r="J363" s="104" t="e">
        <f>SUM(J357:J362)</f>
        <v>#REF!</v>
      </c>
      <c r="K363" s="104" t="e">
        <f>SUM(K357:K362)</f>
        <v>#REF!</v>
      </c>
      <c r="L363" s="104">
        <f>'10'!Q50</f>
        <v>6778.9751920380195</v>
      </c>
      <c r="M363" s="104">
        <f>'10'!R50</f>
        <v>15273.922990603092</v>
      </c>
      <c r="N363" s="104">
        <f>'10'!S50</f>
        <v>22052.898182641111</v>
      </c>
    </row>
    <row r="364" spans="3:14">
      <c r="C364" s="103" t="s">
        <v>24</v>
      </c>
      <c r="D364" s="231"/>
      <c r="E364" s="232"/>
      <c r="F364" s="232"/>
      <c r="G364" s="398"/>
      <c r="H364" s="232"/>
      <c r="I364" s="232"/>
      <c r="J364" s="233"/>
      <c r="K364" s="135" t="e">
        <f>+K363/#REF!</f>
        <v>#REF!</v>
      </c>
      <c r="L364" s="444"/>
      <c r="M364" s="445"/>
      <c r="N364" s="135">
        <f>N363/G363</f>
        <v>0.73200946246859733</v>
      </c>
    </row>
    <row r="367" spans="3:14" ht="15" customHeight="1">
      <c r="C367" s="245" t="s">
        <v>7</v>
      </c>
      <c r="D367" s="241">
        <f>'10'!$C$29</f>
        <v>93000</v>
      </c>
      <c r="E367" s="446" t="s">
        <v>136</v>
      </c>
      <c r="F367" s="446"/>
      <c r="G367" s="446"/>
      <c r="L367" s="447" t="s">
        <v>140</v>
      </c>
      <c r="M367" s="448"/>
      <c r="N367" s="449"/>
    </row>
    <row r="368" spans="3:14">
      <c r="C368" s="103" t="s">
        <v>9</v>
      </c>
      <c r="D368" s="241">
        <f>'10'!$C$30</f>
        <v>850.08062827866866</v>
      </c>
      <c r="E368" s="446"/>
      <c r="F368" s="446"/>
      <c r="G368" s="446"/>
      <c r="H368" s="236"/>
      <c r="K368" s="237"/>
      <c r="L368" s="450"/>
      <c r="M368" s="451"/>
      <c r="N368" s="452"/>
    </row>
    <row r="369" spans="3:14" ht="45">
      <c r="C369" s="103"/>
      <c r="D369" s="247"/>
      <c r="E369" s="389" t="s">
        <v>60</v>
      </c>
      <c r="F369" s="390" t="s">
        <v>61</v>
      </c>
      <c r="G369" s="389" t="s">
        <v>62</v>
      </c>
      <c r="H369" s="391" t="s">
        <v>4</v>
      </c>
      <c r="I369" s="391" t="s">
        <v>5</v>
      </c>
      <c r="J369" s="392" t="s">
        <v>2</v>
      </c>
      <c r="K369" s="393" t="s">
        <v>6</v>
      </c>
      <c r="L369" s="389" t="s">
        <v>60</v>
      </c>
      <c r="M369" s="390" t="s">
        <v>61</v>
      </c>
      <c r="N369" s="389" t="s">
        <v>62</v>
      </c>
    </row>
    <row r="370" spans="3:14">
      <c r="C370" s="95" t="s">
        <v>10</v>
      </c>
      <c r="D370" s="96" t="s">
        <v>11</v>
      </c>
      <c r="E370" s="97">
        <f>'10'!$I$45</f>
        <v>943.80000000000007</v>
      </c>
      <c r="F370" s="97"/>
      <c r="G370" s="97">
        <f>'10'!$K$45</f>
        <v>943.80000000000007</v>
      </c>
      <c r="H370" s="136" t="e">
        <f>+'R1'!#REF!</f>
        <v>#REF!</v>
      </c>
      <c r="I370" s="119" t="e">
        <f>+'R1'!#REF!</f>
        <v>#REF!</v>
      </c>
      <c r="J370" s="99" t="e">
        <f>+'R1'!#REF!</f>
        <v>#REF!</v>
      </c>
      <c r="K370" s="99" t="e">
        <f>SUM(I370:J370)</f>
        <v>#REF!</v>
      </c>
      <c r="L370" s="98">
        <f>'10'!Y45</f>
        <v>6022.6879026300103</v>
      </c>
      <c r="M370" s="98">
        <f>'10'!Z45</f>
        <v>92.819437466669029</v>
      </c>
      <c r="N370" s="98">
        <f>'10'!AA45</f>
        <v>6115.5073400966794</v>
      </c>
    </row>
    <row r="371" spans="3:14">
      <c r="C371" s="95" t="s">
        <v>95</v>
      </c>
      <c r="D371" s="96" t="s">
        <v>11</v>
      </c>
      <c r="E371" s="97"/>
      <c r="F371" s="97"/>
      <c r="G371" s="97"/>
      <c r="H371" s="136"/>
      <c r="I371" s="119"/>
      <c r="J371" s="99"/>
      <c r="K371" s="99"/>
      <c r="L371" s="98"/>
      <c r="M371" s="98"/>
      <c r="N371" s="98"/>
    </row>
    <row r="372" spans="3:14">
      <c r="C372" s="95" t="s">
        <v>138</v>
      </c>
      <c r="D372" s="96" t="s">
        <v>11</v>
      </c>
      <c r="E372" s="363">
        <f>'10'!$I$46</f>
        <v>7345.4590152600003</v>
      </c>
      <c r="F372" s="363">
        <f>'10'!$J$46</f>
        <v>27.621002969999999</v>
      </c>
      <c r="G372" s="363">
        <f>'10'!$K$46</f>
        <v>7373.08001823</v>
      </c>
      <c r="H372" s="101"/>
      <c r="I372" s="101"/>
      <c r="J372" s="99" t="e">
        <f>+'R1'!#REF!</f>
        <v>#REF!</v>
      </c>
      <c r="K372" s="99" t="e">
        <f t="shared" ref="K372:K375" si="40">SUM(I372:J372)</f>
        <v>#REF!</v>
      </c>
      <c r="L372" s="98">
        <f>'10'!Y47</f>
        <v>0</v>
      </c>
      <c r="M372" s="98">
        <f>'10'!Z47</f>
        <v>359.83176076244519</v>
      </c>
      <c r="N372" s="98">
        <f>'10'!AA47</f>
        <v>359.83176076244519</v>
      </c>
    </row>
    <row r="373" spans="3:14">
      <c r="C373" s="95" t="s">
        <v>14</v>
      </c>
      <c r="D373" s="96" t="s">
        <v>11</v>
      </c>
      <c r="E373" s="363">
        <f>'10'!$I$47</f>
        <v>-378.04500000000002</v>
      </c>
      <c r="F373" s="363">
        <f>'10'!$J$47</f>
        <v>3056.4450000000006</v>
      </c>
      <c r="G373" s="363">
        <f>'10'!$K$47</f>
        <v>2678.4000000000005</v>
      </c>
      <c r="H373" s="101"/>
      <c r="I373" s="101"/>
      <c r="J373" s="99" t="e">
        <f>+'R1'!#REF!</f>
        <v>#REF!</v>
      </c>
      <c r="K373" s="99" t="e">
        <f t="shared" si="40"/>
        <v>#REF!</v>
      </c>
      <c r="L373" s="98">
        <f>'10'!Y48</f>
        <v>-76.289815794590467</v>
      </c>
      <c r="M373" s="98">
        <f>'10'!Z48</f>
        <v>1546.7041407407867</v>
      </c>
      <c r="N373" s="98">
        <f>'10'!AA48</f>
        <v>1470.4143249461963</v>
      </c>
    </row>
    <row r="374" spans="3:14">
      <c r="C374" s="95" t="s">
        <v>93</v>
      </c>
      <c r="D374" s="96" t="s">
        <v>11</v>
      </c>
      <c r="E374" s="363">
        <f>'10'!$I$48</f>
        <v>1596.345</v>
      </c>
      <c r="F374" s="363">
        <f>'10'!$J$48</f>
        <v>2529.6930000000011</v>
      </c>
      <c r="G374" s="363">
        <f>'10'!$K$48</f>
        <v>4126.0380000000014</v>
      </c>
      <c r="H374" s="101"/>
      <c r="I374" s="101"/>
      <c r="J374" s="99" t="e">
        <f>+'R1'!#REF!</f>
        <v>#REF!</v>
      </c>
      <c r="K374" s="99" t="e">
        <f t="shared" si="40"/>
        <v>#REF!</v>
      </c>
      <c r="L374" s="98"/>
      <c r="M374" s="98"/>
      <c r="N374" s="98"/>
    </row>
    <row r="375" spans="3:14">
      <c r="C375" s="95" t="s">
        <v>15</v>
      </c>
      <c r="D375" s="96" t="s">
        <v>11</v>
      </c>
      <c r="E375" s="382">
        <f>'10'!$I$49</f>
        <v>199.113</v>
      </c>
      <c r="F375" s="363">
        <f>'10'!$J$49</f>
        <v>14806.089625739358</v>
      </c>
      <c r="G375" s="363">
        <f>'10'!$K$49</f>
        <v>15005.202625739357</v>
      </c>
      <c r="H375" s="100" t="e">
        <f>+I375/$D$77</f>
        <v>#REF!</v>
      </c>
      <c r="I375" s="99" t="e">
        <f>+'R1'!#REF!</f>
        <v>#REF!</v>
      </c>
      <c r="J375" s="99" t="e">
        <f>+'R1'!#REF!</f>
        <v>#REF!</v>
      </c>
      <c r="K375" s="99" t="e">
        <f t="shared" si="40"/>
        <v>#REF!</v>
      </c>
      <c r="L375" s="98">
        <f>'10'!Y49</f>
        <v>130.64333111999406</v>
      </c>
      <c r="M375" s="98">
        <f>'10'!Z49</f>
        <v>13263.083927716654</v>
      </c>
      <c r="N375" s="98">
        <f>'10'!AA49</f>
        <v>13393.727258836649</v>
      </c>
    </row>
    <row r="376" spans="3:14">
      <c r="C376" s="103" t="s">
        <v>16</v>
      </c>
      <c r="D376" s="96" t="s">
        <v>11</v>
      </c>
      <c r="E376" s="376">
        <f>'10'!$I$50</f>
        <v>9706.6720152599992</v>
      </c>
      <c r="F376" s="376">
        <f>'10'!$J$50</f>
        <v>20419.848628709362</v>
      </c>
      <c r="G376" s="376">
        <f>'10'!$K$50</f>
        <v>30126.520643969357</v>
      </c>
      <c r="H376" s="101"/>
      <c r="I376" s="104" t="e">
        <f>SUM(I370:I375)</f>
        <v>#REF!</v>
      </c>
      <c r="J376" s="104" t="e">
        <f>SUM(J370:J375)</f>
        <v>#REF!</v>
      </c>
      <c r="K376" s="104" t="e">
        <f>SUM(K370:K375)</f>
        <v>#REF!</v>
      </c>
      <c r="L376" s="104">
        <f>'10'!Y50</f>
        <v>6077.0414179554145</v>
      </c>
      <c r="M376" s="104">
        <f>'10'!Z50</f>
        <v>15262.439266686555</v>
      </c>
      <c r="N376" s="104">
        <f>'10'!AA50</f>
        <v>21339.480684641967</v>
      </c>
    </row>
    <row r="377" spans="3:14">
      <c r="C377" s="103" t="s">
        <v>24</v>
      </c>
      <c r="D377" s="231"/>
      <c r="E377" s="232"/>
      <c r="F377" s="232"/>
      <c r="G377" s="398"/>
      <c r="H377" s="232"/>
      <c r="I377" s="232"/>
      <c r="J377" s="233"/>
      <c r="K377" s="135" t="e">
        <f>+K376/#REF!</f>
        <v>#REF!</v>
      </c>
      <c r="L377" s="444"/>
      <c r="M377" s="445"/>
      <c r="N377" s="135">
        <f>N376/G376</f>
        <v>0.70832874917182465</v>
      </c>
    </row>
    <row r="380" spans="3:14" ht="15" customHeight="1">
      <c r="C380" s="245" t="s">
        <v>7</v>
      </c>
      <c r="D380" s="241">
        <f>'10'!$C$29</f>
        <v>93000</v>
      </c>
      <c r="E380" s="446" t="s">
        <v>136</v>
      </c>
      <c r="F380" s="446"/>
      <c r="G380" s="446"/>
      <c r="L380" s="447" t="s">
        <v>142</v>
      </c>
      <c r="M380" s="448"/>
      <c r="N380" s="449"/>
    </row>
    <row r="381" spans="3:14">
      <c r="C381" s="103" t="s">
        <v>9</v>
      </c>
      <c r="D381" s="241">
        <f>'10'!$C$30</f>
        <v>850.08062827866866</v>
      </c>
      <c r="E381" s="446"/>
      <c r="F381" s="446"/>
      <c r="G381" s="446"/>
      <c r="H381" s="236"/>
      <c r="K381" s="237"/>
      <c r="L381" s="450"/>
      <c r="M381" s="451"/>
      <c r="N381" s="452"/>
    </row>
    <row r="382" spans="3:14" ht="45">
      <c r="C382" s="103"/>
      <c r="D382" s="247"/>
      <c r="E382" s="389" t="s">
        <v>60</v>
      </c>
      <c r="F382" s="390" t="s">
        <v>61</v>
      </c>
      <c r="G382" s="389" t="s">
        <v>62</v>
      </c>
      <c r="H382" s="391" t="s">
        <v>4</v>
      </c>
      <c r="I382" s="391" t="s">
        <v>5</v>
      </c>
      <c r="J382" s="392" t="s">
        <v>2</v>
      </c>
      <c r="K382" s="393" t="s">
        <v>6</v>
      </c>
      <c r="L382" s="389" t="s">
        <v>60</v>
      </c>
      <c r="M382" s="390" t="s">
        <v>61</v>
      </c>
      <c r="N382" s="389" t="s">
        <v>62</v>
      </c>
    </row>
    <row r="383" spans="3:14">
      <c r="C383" s="95" t="s">
        <v>10</v>
      </c>
      <c r="D383" s="96" t="s">
        <v>11</v>
      </c>
      <c r="E383" s="97">
        <f>'10'!$I$45</f>
        <v>943.80000000000007</v>
      </c>
      <c r="F383" s="97"/>
      <c r="G383" s="97">
        <f>'10'!$K$45</f>
        <v>943.80000000000007</v>
      </c>
      <c r="H383" s="136" t="e">
        <f>+'R1'!#REF!</f>
        <v>#REF!</v>
      </c>
      <c r="I383" s="119" t="e">
        <f>+'R1'!#REF!</f>
        <v>#REF!</v>
      </c>
      <c r="J383" s="99" t="e">
        <f>+'R1'!#REF!</f>
        <v>#REF!</v>
      </c>
      <c r="K383" s="99" t="e">
        <f>SUM(I383:J383)</f>
        <v>#REF!</v>
      </c>
      <c r="L383" s="377">
        <f>'10'!AG45</f>
        <v>349.20000000000005</v>
      </c>
      <c r="M383" s="380"/>
      <c r="N383" s="383">
        <f>'10'!AI45</f>
        <v>349.20000000000005</v>
      </c>
    </row>
    <row r="384" spans="3:14">
      <c r="C384" s="95" t="s">
        <v>95</v>
      </c>
      <c r="D384" s="96" t="s">
        <v>11</v>
      </c>
      <c r="E384" s="97"/>
      <c r="F384" s="97"/>
      <c r="G384" s="97"/>
      <c r="H384" s="136"/>
      <c r="I384" s="119"/>
      <c r="J384" s="99"/>
      <c r="K384" s="99"/>
      <c r="L384" s="98"/>
      <c r="M384" s="98"/>
      <c r="N384" s="98"/>
    </row>
    <row r="385" spans="3:14">
      <c r="C385" s="95" t="s">
        <v>138</v>
      </c>
      <c r="D385" s="96" t="s">
        <v>11</v>
      </c>
      <c r="E385" s="363">
        <f>'10'!$I$46</f>
        <v>7345.4590152600003</v>
      </c>
      <c r="F385" s="363">
        <f>'10'!$J$46</f>
        <v>27.621002969999999</v>
      </c>
      <c r="G385" s="363">
        <f>'10'!$K$46</f>
        <v>7373.08001823</v>
      </c>
      <c r="H385" s="101"/>
      <c r="I385" s="101"/>
      <c r="J385" s="99" t="e">
        <f>+'R1'!#REF!</f>
        <v>#REF!</v>
      </c>
      <c r="K385" s="99" t="e">
        <f t="shared" ref="K385:K388" si="41">SUM(I385:J385)</f>
        <v>#REF!</v>
      </c>
      <c r="L385" s="98">
        <f>'10'!AG47</f>
        <v>6833.9409309245166</v>
      </c>
      <c r="M385" s="98">
        <f>'10'!AH47</f>
        <v>471.63588504074215</v>
      </c>
      <c r="N385" s="98">
        <f>'10'!AI47</f>
        <v>7305.5768159652589</v>
      </c>
    </row>
    <row r="386" spans="3:14">
      <c r="C386" s="95" t="s">
        <v>14</v>
      </c>
      <c r="D386" s="96" t="s">
        <v>11</v>
      </c>
      <c r="E386" s="363">
        <f>'10'!$I$47</f>
        <v>-378.04500000000002</v>
      </c>
      <c r="F386" s="363">
        <f>'10'!$J$47</f>
        <v>3056.4450000000006</v>
      </c>
      <c r="G386" s="363">
        <f>'10'!$K$47</f>
        <v>2678.4000000000005</v>
      </c>
      <c r="H386" s="101"/>
      <c r="I386" s="101"/>
      <c r="J386" s="99" t="e">
        <f>+'R1'!#REF!</f>
        <v>#REF!</v>
      </c>
      <c r="K386" s="99" t="e">
        <f t="shared" si="41"/>
        <v>#REF!</v>
      </c>
      <c r="L386" s="98">
        <f>'10'!AG48</f>
        <v>-76.289815794590467</v>
      </c>
      <c r="M386" s="98">
        <f>'10'!AH48</f>
        <v>1546.7041407407867</v>
      </c>
      <c r="N386" s="98">
        <f>'10'!AI48</f>
        <v>1470.4143249461963</v>
      </c>
    </row>
    <row r="387" spans="3:14">
      <c r="C387" s="95" t="s">
        <v>93</v>
      </c>
      <c r="D387" s="96" t="s">
        <v>11</v>
      </c>
      <c r="E387" s="363">
        <f>'10'!$I$48</f>
        <v>1596.345</v>
      </c>
      <c r="F387" s="363">
        <f>'10'!$J$48</f>
        <v>2529.6930000000011</v>
      </c>
      <c r="G387" s="363">
        <f>'10'!$K$48</f>
        <v>4126.0380000000014</v>
      </c>
      <c r="H387" s="101"/>
      <c r="I387" s="101"/>
      <c r="J387" s="99" t="e">
        <f>+'R1'!#REF!</f>
        <v>#REF!</v>
      </c>
      <c r="K387" s="99" t="e">
        <f t="shared" si="41"/>
        <v>#REF!</v>
      </c>
      <c r="L387" s="98"/>
      <c r="M387" s="98"/>
      <c r="N387" s="98"/>
    </row>
    <row r="388" spans="3:14">
      <c r="C388" s="95" t="s">
        <v>15</v>
      </c>
      <c r="D388" s="96" t="s">
        <v>11</v>
      </c>
      <c r="E388" s="382">
        <f>'10'!$I$49</f>
        <v>199.113</v>
      </c>
      <c r="F388" s="363">
        <f>'10'!$J$49</f>
        <v>14806.089625739358</v>
      </c>
      <c r="G388" s="363">
        <f>'10'!$K$49</f>
        <v>15005.202625739357</v>
      </c>
      <c r="H388" s="100" t="e">
        <f>+I388/$D$77</f>
        <v>#REF!</v>
      </c>
      <c r="I388" s="99" t="e">
        <f>+'R1'!#REF!</f>
        <v>#REF!</v>
      </c>
      <c r="J388" s="99" t="e">
        <f>+'R1'!#REF!</f>
        <v>#REF!</v>
      </c>
      <c r="K388" s="99" t="e">
        <f t="shared" si="41"/>
        <v>#REF!</v>
      </c>
      <c r="L388" s="98">
        <f>'10'!AG49</f>
        <v>130.64333111999406</v>
      </c>
      <c r="M388" s="98">
        <f>'10'!AH49</f>
        <v>13263.083927716654</v>
      </c>
      <c r="N388" s="98">
        <f>'10'!AI49</f>
        <v>13393.727258836649</v>
      </c>
    </row>
    <row r="389" spans="3:14">
      <c r="C389" s="103" t="s">
        <v>16</v>
      </c>
      <c r="D389" s="96" t="s">
        <v>11</v>
      </c>
      <c r="E389" s="376">
        <f>'10'!$I$50</f>
        <v>9706.6720152599992</v>
      </c>
      <c r="F389" s="376">
        <f>'10'!$J$50</f>
        <v>20419.848628709362</v>
      </c>
      <c r="G389" s="376">
        <f>'10'!$K$50</f>
        <v>30126.520643969357</v>
      </c>
      <c r="H389" s="101"/>
      <c r="I389" s="104" t="e">
        <f>SUM(I383:I388)</f>
        <v>#REF!</v>
      </c>
      <c r="J389" s="104" t="e">
        <f>SUM(J383:J388)</f>
        <v>#REF!</v>
      </c>
      <c r="K389" s="104" t="e">
        <f>SUM(K383:K388)</f>
        <v>#REF!</v>
      </c>
      <c r="L389" s="104">
        <f>'10'!AG50</f>
        <v>7237.4944462499207</v>
      </c>
      <c r="M389" s="104">
        <f>'10'!AH50</f>
        <v>15281.423953498183</v>
      </c>
      <c r="N389" s="104">
        <f>'10'!AI50</f>
        <v>22518.918399748101</v>
      </c>
    </row>
    <row r="390" spans="3:14">
      <c r="C390" s="103" t="s">
        <v>24</v>
      </c>
      <c r="D390" s="231"/>
      <c r="E390" s="232"/>
      <c r="F390" s="232"/>
      <c r="G390" s="398"/>
      <c r="H390" s="232"/>
      <c r="I390" s="232"/>
      <c r="J390" s="233"/>
      <c r="K390" s="135" t="e">
        <f>+K389/#REF!</f>
        <v>#REF!</v>
      </c>
      <c r="L390" s="444"/>
      <c r="M390" s="445"/>
      <c r="N390" s="135">
        <f>N389/G389</f>
        <v>0.74747823241433209</v>
      </c>
    </row>
  </sheetData>
  <mergeCells count="88">
    <mergeCell ref="X189:AD189"/>
    <mergeCell ref="L4:N4"/>
    <mergeCell ref="L90:M90"/>
    <mergeCell ref="L114:M114"/>
    <mergeCell ref="L46:N46"/>
    <mergeCell ref="L6:N7"/>
    <mergeCell ref="L18:N19"/>
    <mergeCell ref="L30:N31"/>
    <mergeCell ref="L80:N81"/>
    <mergeCell ref="L92:N93"/>
    <mergeCell ref="L104:N105"/>
    <mergeCell ref="L16:M16"/>
    <mergeCell ref="D48:D49"/>
    <mergeCell ref="D58:D59"/>
    <mergeCell ref="D68:D69"/>
    <mergeCell ref="L28:M28"/>
    <mergeCell ref="L40:M40"/>
    <mergeCell ref="E172:G173"/>
    <mergeCell ref="L172:N173"/>
    <mergeCell ref="E4:G4"/>
    <mergeCell ref="H4:K4"/>
    <mergeCell ref="E46:G46"/>
    <mergeCell ref="L102:M102"/>
    <mergeCell ref="E92:G93"/>
    <mergeCell ref="E6:G7"/>
    <mergeCell ref="E18:G19"/>
    <mergeCell ref="E30:G31"/>
    <mergeCell ref="E80:G81"/>
    <mergeCell ref="E78:G78"/>
    <mergeCell ref="H78:K78"/>
    <mergeCell ref="L78:N78"/>
    <mergeCell ref="L158:M158"/>
    <mergeCell ref="E247:G248"/>
    <mergeCell ref="L247:N248"/>
    <mergeCell ref="E104:G105"/>
    <mergeCell ref="L170:M170"/>
    <mergeCell ref="E194:G195"/>
    <mergeCell ref="L194:N195"/>
    <mergeCell ref="L230:M230"/>
    <mergeCell ref="E146:G146"/>
    <mergeCell ref="H146:K146"/>
    <mergeCell ref="L146:N146"/>
    <mergeCell ref="L143:M143"/>
    <mergeCell ref="L182:M182"/>
    <mergeCell ref="E148:G149"/>
    <mergeCell ref="L148:N149"/>
    <mergeCell ref="E160:G161"/>
    <mergeCell ref="L160:N161"/>
    <mergeCell ref="L244:M244"/>
    <mergeCell ref="L204:M204"/>
    <mergeCell ref="L217:M217"/>
    <mergeCell ref="E207:G208"/>
    <mergeCell ref="L207:N208"/>
    <mergeCell ref="E220:G221"/>
    <mergeCell ref="L220:N221"/>
    <mergeCell ref="E234:G235"/>
    <mergeCell ref="L234:N235"/>
    <mergeCell ref="L310:M310"/>
    <mergeCell ref="L324:M324"/>
    <mergeCell ref="L297:M297"/>
    <mergeCell ref="E300:G301"/>
    <mergeCell ref="L300:N301"/>
    <mergeCell ref="E314:G315"/>
    <mergeCell ref="L314:N315"/>
    <mergeCell ref="E287:G288"/>
    <mergeCell ref="L287:N288"/>
    <mergeCell ref="L270:M270"/>
    <mergeCell ref="L284:M284"/>
    <mergeCell ref="L257:M257"/>
    <mergeCell ref="E260:G261"/>
    <mergeCell ref="L260:N261"/>
    <mergeCell ref="E274:G275"/>
    <mergeCell ref="L274:N275"/>
    <mergeCell ref="E327:G328"/>
    <mergeCell ref="L327:N328"/>
    <mergeCell ref="L390:M390"/>
    <mergeCell ref="L377:M377"/>
    <mergeCell ref="E380:G381"/>
    <mergeCell ref="L380:N381"/>
    <mergeCell ref="E367:G368"/>
    <mergeCell ref="L367:N368"/>
    <mergeCell ref="L350:M350"/>
    <mergeCell ref="L364:M364"/>
    <mergeCell ref="L337:M337"/>
    <mergeCell ref="E340:G341"/>
    <mergeCell ref="L340:N341"/>
    <mergeCell ref="E354:G355"/>
    <mergeCell ref="L354:N35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8B23-824A-46FC-86BE-BA1F5507C199}">
  <sheetPr codeName="Sheet14">
    <tabColor rgb="FF0070C0"/>
  </sheetPr>
  <dimension ref="A1:E22"/>
  <sheetViews>
    <sheetView zoomScaleNormal="100" workbookViewId="0">
      <selection activeCell="J32" sqref="J32"/>
    </sheetView>
  </sheetViews>
  <sheetFormatPr defaultColWidth="8.85546875" defaultRowHeight="15"/>
  <cols>
    <col min="1" max="1" width="27.42578125" customWidth="1"/>
    <col min="2" max="2" width="8.85546875" customWidth="1"/>
    <col min="3" max="3" width="13" customWidth="1"/>
    <col min="4" max="4" width="10.42578125" customWidth="1"/>
  </cols>
  <sheetData>
    <row r="1" spans="1:5" ht="21.75" thickBot="1">
      <c r="A1" s="464" t="s">
        <v>150</v>
      </c>
      <c r="B1" s="464"/>
      <c r="C1" s="464"/>
    </row>
    <row r="2" spans="1:5" ht="21.75" thickTop="1">
      <c r="A2" s="15"/>
      <c r="B2" s="185" t="s">
        <v>151</v>
      </c>
      <c r="C2" s="185" t="s">
        <v>152</v>
      </c>
    </row>
    <row r="3" spans="1:5">
      <c r="A3" t="s">
        <v>153</v>
      </c>
      <c r="B3" s="387">
        <v>0.30390734355772692</v>
      </c>
      <c r="C3" s="387">
        <v>0.29972982805628634</v>
      </c>
      <c r="E3" s="16"/>
    </row>
    <row r="4" spans="1:5">
      <c r="A4" t="s">
        <v>154</v>
      </c>
      <c r="B4" s="387">
        <v>0.28329158485027389</v>
      </c>
      <c r="C4" s="387">
        <v>0.30064944598700405</v>
      </c>
      <c r="E4" s="16"/>
    </row>
    <row r="5" spans="1:5">
      <c r="A5" t="s">
        <v>155</v>
      </c>
      <c r="B5" s="387">
        <v>0.29244526145297889</v>
      </c>
      <c r="C5" s="387">
        <v>0.29535372194165116</v>
      </c>
      <c r="E5" s="16"/>
    </row>
    <row r="6" spans="1:5">
      <c r="A6" t="s">
        <v>156</v>
      </c>
      <c r="B6" s="387">
        <v>0.32708860175240828</v>
      </c>
      <c r="C6" s="387">
        <v>0.32378551714624937</v>
      </c>
      <c r="E6" s="16"/>
    </row>
    <row r="7" spans="1:5">
      <c r="A7" t="s">
        <v>157</v>
      </c>
      <c r="B7" s="387">
        <v>0.25552281042925895</v>
      </c>
      <c r="C7" s="387">
        <v>0.29623476778906754</v>
      </c>
      <c r="E7" s="16"/>
    </row>
    <row r="8" spans="1:5">
      <c r="A8" t="s">
        <v>158</v>
      </c>
      <c r="B8" s="387">
        <v>0.28394166099023704</v>
      </c>
      <c r="C8" s="387">
        <v>0.27339804937484097</v>
      </c>
      <c r="E8" s="16"/>
    </row>
    <row r="9" spans="1:5">
      <c r="A9" t="s">
        <v>159</v>
      </c>
      <c r="B9" s="387"/>
      <c r="C9" s="387">
        <v>0.38006615170009272</v>
      </c>
      <c r="E9" s="16"/>
    </row>
    <row r="10" spans="1:5">
      <c r="A10" t="s">
        <v>160</v>
      </c>
      <c r="B10" s="387">
        <v>0.29073177165036496</v>
      </c>
      <c r="C10" s="387">
        <v>0.29140944580026451</v>
      </c>
      <c r="E10" s="16"/>
    </row>
    <row r="11" spans="1:5">
      <c r="A11" t="s">
        <v>161</v>
      </c>
      <c r="B11" s="387"/>
      <c r="C11" s="387">
        <v>0.31344479104107925</v>
      </c>
      <c r="E11" s="16"/>
    </row>
    <row r="13" spans="1:5">
      <c r="A13" t="s">
        <v>162</v>
      </c>
    </row>
    <row r="14" spans="1:5">
      <c r="A14" t="s">
        <v>163</v>
      </c>
      <c r="B14" s="415">
        <v>0.26989397246887487</v>
      </c>
    </row>
    <row r="15" spans="1:5">
      <c r="A15" t="s">
        <v>164</v>
      </c>
      <c r="B15" s="387">
        <v>0.26797974552127296</v>
      </c>
    </row>
    <row r="17" spans="1:3">
      <c r="A17" t="s">
        <v>165</v>
      </c>
    </row>
    <row r="18" spans="1:3">
      <c r="A18" t="s">
        <v>163</v>
      </c>
      <c r="B18" s="387">
        <v>7.0000000000000007E-2</v>
      </c>
    </row>
    <row r="19" spans="1:3">
      <c r="A19" t="s">
        <v>164</v>
      </c>
      <c r="B19" s="387">
        <v>7.0000000000000007E-2</v>
      </c>
    </row>
    <row r="21" spans="1:3">
      <c r="A21" t="s">
        <v>166</v>
      </c>
      <c r="C21" s="387">
        <v>0.26989397246887487</v>
      </c>
    </row>
    <row r="22" spans="1:3">
      <c r="A22" t="s">
        <v>167</v>
      </c>
      <c r="C22" s="415">
        <v>0.26797974552127296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C9B3C5A-A299-4E4F-A07D-5E91C6FBBB8E}"/>
</file>

<file path=customXml/itemProps2.xml><?xml version="1.0" encoding="utf-8"?>
<ds:datastoreItem xmlns:ds="http://schemas.openxmlformats.org/officeDocument/2006/customXml" ds:itemID="{5A8E511C-DC1F-4DB0-8E86-A44825F86722}"/>
</file>

<file path=customXml/itemProps3.xml><?xml version="1.0" encoding="utf-8"?>
<ds:datastoreItem xmlns:ds="http://schemas.openxmlformats.org/officeDocument/2006/customXml" ds:itemID="{BD42C44C-072F-46FE-A106-A9888060F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R1</vt:lpstr>
      <vt:lpstr>R6</vt:lpstr>
      <vt:lpstr>m1</vt:lpstr>
      <vt:lpstr>m2</vt:lpstr>
      <vt:lpstr>1</vt:lpstr>
      <vt:lpstr>10</vt:lpstr>
      <vt:lpstr>LEGD Tables</vt:lpstr>
      <vt:lpstr>LUG Tables</vt:lpstr>
      <vt:lpstr>Load Factor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2025-07-04T15:14:41Z</dcterms:created>
  <dcterms:modified xsi:type="dcterms:W3CDTF">2025-07-04T15:47:34Z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2025-07-04T15:14:42Z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fcc471d5-f930-4cac-9f47-8abc66f2a707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