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lard\AppData\Roaming\iManage\Work\Recent\Wataynikaney 37866-2035 2026 Transmission Rate Application\"/>
    </mc:Choice>
  </mc:AlternateContent>
  <xr:revisionPtr revIDLastSave="0" documentId="8_{8B15AF4D-8668-42A7-AB1F-4F7E8D1E744E}" xr6:coauthVersionLast="47" xr6:coauthVersionMax="47" xr10:uidLastSave="{00000000-0000-0000-0000-000000000000}"/>
  <bookViews>
    <workbookView xWindow="28680" yWindow="60" windowWidth="29040" windowHeight="15720" tabRatio="766" firstSheet="8" activeTab="16" xr2:uid="{6603748E-8709-4FF2-A572-7074FF09FAC8}"/>
  </bookViews>
  <sheets>
    <sheet name="2021 Combined" sheetId="11" state="hidden" r:id="rId1"/>
    <sheet name="2022 Combined" sheetId="8" state="hidden" r:id="rId2"/>
    <sheet name="2022 LTPL" sheetId="9" state="hidden" r:id="rId3"/>
    <sheet name="2022 RCL" sheetId="10" state="hidden" r:id="rId4"/>
    <sheet name="2023 Combined" sheetId="13" state="hidden" r:id="rId5"/>
    <sheet name="2023 LTPL" sheetId="14" state="hidden" r:id="rId6"/>
    <sheet name="Sheet1" sheetId="19" state="hidden" r:id="rId7"/>
    <sheet name="2023 RCL" sheetId="15" state="hidden" r:id="rId8"/>
    <sheet name="2024 Combined" sheetId="16" r:id="rId9"/>
    <sheet name="2024 LTPL" sheetId="17" r:id="rId10"/>
    <sheet name="2024 RCL" sheetId="18" r:id="rId11"/>
    <sheet name="2025 Combined" sheetId="20" r:id="rId12"/>
    <sheet name="2025 LTPL" sheetId="21" r:id="rId13"/>
    <sheet name="2025 RCL" sheetId="22" r:id="rId14"/>
    <sheet name="2026 Combined" sheetId="23" r:id="rId15"/>
    <sheet name="2026 LTPL" sheetId="24" r:id="rId16"/>
    <sheet name="2026 RCL" sheetId="25" r:id="rId17"/>
    <sheet name="Calcuations, Tables" sheetId="12" state="hidden" r:id="rId18"/>
  </sheets>
  <definedNames>
    <definedName name="Cash">#REF!</definedName>
    <definedName name="Cash2">#REF!</definedName>
    <definedName name="data02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ysInPreviousYear">#REF!</definedName>
    <definedName name="DaysInYear">#REF!</definedName>
    <definedName name="distributors">#REF!</definedName>
    <definedName name="Driver">#REF!</definedName>
    <definedName name="DVA">#REF!</definedName>
    <definedName name="FortyFivePercent">#REF!</definedName>
    <definedName name="HVDS_LOW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ofF">#REF!</definedName>
    <definedName name="_xlnm.Print_Area" localSheetId="1">'2022 Combined'!$A$1:$M$60</definedName>
    <definedName name="_xlnm.Print_Area" localSheetId="2">'2022 LTPL'!$A$1:$Z$59</definedName>
    <definedName name="_xlnm.Print_Area" localSheetId="3">'2022 RCL'!$A$1:$Z$58</definedName>
    <definedName name="_xlnm.Print_Area" localSheetId="4">'2023 Combined'!$A$1:$M$53</definedName>
    <definedName name="_xlnm.Print_Area" localSheetId="5">'2023 LTPL'!$A$1:$M$60</definedName>
    <definedName name="_xlnm.Print_Area" localSheetId="7">'2023 RCL'!$A$1:$M$52</definedName>
    <definedName name="_xlnm.Print_Area" localSheetId="8">'2024 Combined'!$A$1:$M$52</definedName>
    <definedName name="_xlnm.Print_Area" localSheetId="9">'2024 LTPL'!$A$1:$M$51</definedName>
    <definedName name="_xlnm.Print_Area" localSheetId="10">'2024 RCL'!$A$1:$M$51</definedName>
    <definedName name="_xlnm.Print_Area" localSheetId="11">'2025 Combined'!$A$1:$M$48</definedName>
    <definedName name="_xlnm.Print_Area" localSheetId="12">'2025 LTPL'!$A$1:$M$52</definedName>
    <definedName name="_xlnm.Print_Area" localSheetId="13">'2025 RCL'!$A$1:$M$51</definedName>
    <definedName name="_xlnm.Print_Area" localSheetId="14">'2026 Combined'!$A$1:$M$48</definedName>
    <definedName name="_xlnm.Print_Area" localSheetId="15">'2026 LTPL'!$A$1:$M$59</definedName>
    <definedName name="_xlnm.Print_Area" localSheetId="16">'2026 RCL'!$A$1:$M$59</definedName>
    <definedName name="Ratebase">#REF!</definedName>
    <definedName name="Recover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25" l="1"/>
  <c r="Y25" i="25" s="1"/>
  <c r="V25" i="23"/>
  <c r="V25" i="22"/>
  <c r="V27" i="22"/>
  <c r="V28" i="22"/>
  <c r="V29" i="22"/>
  <c r="V18" i="21"/>
  <c r="V19" i="21"/>
  <c r="V20" i="21"/>
  <c r="V27" i="21"/>
  <c r="V28" i="21"/>
  <c r="V29" i="21"/>
  <c r="V17" i="21"/>
  <c r="Y25" i="18" l="1"/>
  <c r="K44" i="16"/>
  <c r="F44" i="16" l="1"/>
  <c r="W39" i="23" l="1"/>
  <c r="X18" i="24"/>
  <c r="X19" i="24"/>
  <c r="X20" i="24"/>
  <c r="X25" i="24"/>
  <c r="X27" i="24"/>
  <c r="X28" i="24"/>
  <c r="X29" i="24"/>
  <c r="X17" i="24"/>
  <c r="X18" i="25"/>
  <c r="X19" i="25"/>
  <c r="X20" i="25"/>
  <c r="X27" i="25"/>
  <c r="X28" i="25"/>
  <c r="X29" i="25"/>
  <c r="X17" i="25"/>
  <c r="W39" i="20" l="1"/>
  <c r="X39" i="20" s="1"/>
  <c r="U26" i="24" l="1"/>
  <c r="U25" i="24"/>
  <c r="U32" i="23"/>
  <c r="U14" i="23"/>
  <c r="L48" i="25"/>
  <c r="D48" i="25"/>
  <c r="G48" i="25" s="1"/>
  <c r="L47" i="25"/>
  <c r="D47" i="25"/>
  <c r="S46" i="25"/>
  <c r="K46" i="25"/>
  <c r="K49" i="25" s="1"/>
  <c r="Y45" i="25"/>
  <c r="J45" i="25" s="1"/>
  <c r="L45" i="25" s="1"/>
  <c r="X45" i="25"/>
  <c r="W45" i="25"/>
  <c r="U45" i="25"/>
  <c r="Y44" i="25"/>
  <c r="J44" i="25" s="1"/>
  <c r="L44" i="25" s="1"/>
  <c r="X44" i="25"/>
  <c r="W44" i="25"/>
  <c r="U44" i="25"/>
  <c r="Y43" i="25"/>
  <c r="X43" i="25"/>
  <c r="W43" i="25"/>
  <c r="J43" i="25"/>
  <c r="L43" i="25" s="1"/>
  <c r="U43" i="25"/>
  <c r="R43" i="25"/>
  <c r="T43" i="25" s="1"/>
  <c r="V43" i="25" s="1"/>
  <c r="Y42" i="25"/>
  <c r="X42" i="25"/>
  <c r="W42" i="25"/>
  <c r="J42" i="25"/>
  <c r="L42" i="25" s="1"/>
  <c r="U42" i="25"/>
  <c r="Y41" i="25"/>
  <c r="X41" i="25"/>
  <c r="W41" i="25"/>
  <c r="R41" i="25"/>
  <c r="T41" i="25" s="1"/>
  <c r="V41" i="25" s="1"/>
  <c r="J41" i="25"/>
  <c r="L41" i="25" s="1"/>
  <c r="U41" i="25"/>
  <c r="G41" i="25"/>
  <c r="Y40" i="25"/>
  <c r="J40" i="25" s="1"/>
  <c r="L40" i="25" s="1"/>
  <c r="X40" i="25"/>
  <c r="W40" i="25"/>
  <c r="U40" i="25"/>
  <c r="Y39" i="25"/>
  <c r="X39" i="25"/>
  <c r="W39" i="25"/>
  <c r="J39" i="25"/>
  <c r="L39" i="25" s="1"/>
  <c r="G39" i="25"/>
  <c r="M39" i="25" s="1"/>
  <c r="U39" i="25"/>
  <c r="R39" i="25"/>
  <c r="T39" i="25" s="1"/>
  <c r="Y38" i="25"/>
  <c r="X38" i="25"/>
  <c r="W38" i="25"/>
  <c r="U38" i="25"/>
  <c r="J38" i="25"/>
  <c r="L38" i="25" s="1"/>
  <c r="Y37" i="25"/>
  <c r="X37" i="25"/>
  <c r="W37" i="25"/>
  <c r="J37" i="25"/>
  <c r="L37" i="25" s="1"/>
  <c r="U37" i="25"/>
  <c r="Y36" i="25"/>
  <c r="J36" i="25" s="1"/>
  <c r="X36" i="25"/>
  <c r="W36" i="25"/>
  <c r="L36" i="25"/>
  <c r="U36" i="25"/>
  <c r="Y35" i="25"/>
  <c r="X35" i="25"/>
  <c r="W35" i="25"/>
  <c r="J35" i="25"/>
  <c r="L35" i="25" s="1"/>
  <c r="U35" i="25"/>
  <c r="R35" i="25"/>
  <c r="T35" i="25" s="1"/>
  <c r="Y34" i="25"/>
  <c r="X34" i="25"/>
  <c r="W34" i="25"/>
  <c r="J34" i="25"/>
  <c r="L34" i="25" s="1"/>
  <c r="U34" i="25"/>
  <c r="G34" i="25"/>
  <c r="Y33" i="25"/>
  <c r="X33" i="25"/>
  <c r="W33" i="25"/>
  <c r="R33" i="25"/>
  <c r="T33" i="25" s="1"/>
  <c r="V33" i="25" s="1"/>
  <c r="J33" i="25"/>
  <c r="L33" i="25" s="1"/>
  <c r="U33" i="25"/>
  <c r="Y32" i="25"/>
  <c r="J32" i="25" s="1"/>
  <c r="X32" i="25"/>
  <c r="W32" i="25"/>
  <c r="L32" i="25"/>
  <c r="U32" i="25"/>
  <c r="Y31" i="25"/>
  <c r="X31" i="25"/>
  <c r="W31" i="25"/>
  <c r="J31" i="25"/>
  <c r="L31" i="25" s="1"/>
  <c r="U31" i="25"/>
  <c r="R31" i="25"/>
  <c r="T31" i="25" s="1"/>
  <c r="V31" i="25" s="1"/>
  <c r="W29" i="25"/>
  <c r="U29" i="25"/>
  <c r="W28" i="25"/>
  <c r="U28" i="25"/>
  <c r="W27" i="25"/>
  <c r="U27" i="25"/>
  <c r="U26" i="25"/>
  <c r="U25" i="25"/>
  <c r="U23" i="25"/>
  <c r="U22" i="25"/>
  <c r="W20" i="25"/>
  <c r="U20" i="25"/>
  <c r="W19" i="25"/>
  <c r="U19" i="25"/>
  <c r="W18" i="25"/>
  <c r="U18" i="25"/>
  <c r="W17" i="25"/>
  <c r="U17" i="25"/>
  <c r="Y15" i="25"/>
  <c r="J15" i="25" s="1"/>
  <c r="L15" i="25" s="1"/>
  <c r="X15" i="25"/>
  <c r="W15" i="25"/>
  <c r="U15" i="25"/>
  <c r="Y14" i="25"/>
  <c r="J14" i="25" s="1"/>
  <c r="L14" i="25" s="1"/>
  <c r="X14" i="25"/>
  <c r="W14" i="25"/>
  <c r="R14" i="25"/>
  <c r="T14" i="25" s="1"/>
  <c r="Y13" i="25"/>
  <c r="J13" i="25" s="1"/>
  <c r="L13" i="25" s="1"/>
  <c r="X13" i="25"/>
  <c r="W13" i="25"/>
  <c r="U13" i="25"/>
  <c r="R13" i="25"/>
  <c r="T13" i="25" s="1"/>
  <c r="V13" i="25" s="1"/>
  <c r="Y12" i="25"/>
  <c r="X12" i="25"/>
  <c r="W12" i="25"/>
  <c r="U12" i="25"/>
  <c r="G12" i="25"/>
  <c r="U5" i="25"/>
  <c r="U4" i="25"/>
  <c r="L48" i="24"/>
  <c r="D48" i="24"/>
  <c r="G48" i="24" s="1"/>
  <c r="L47" i="24"/>
  <c r="D47" i="24"/>
  <c r="G47" i="24" s="1"/>
  <c r="S46" i="24"/>
  <c r="K46" i="24"/>
  <c r="K49" i="24" s="1"/>
  <c r="Y45" i="24"/>
  <c r="X45" i="24"/>
  <c r="W45" i="24"/>
  <c r="R45" i="24"/>
  <c r="T45" i="24" s="1"/>
  <c r="J45" i="24"/>
  <c r="L45" i="24" s="1"/>
  <c r="U45" i="24"/>
  <c r="Y44" i="24"/>
  <c r="X44" i="24"/>
  <c r="W44" i="24"/>
  <c r="R44" i="24"/>
  <c r="T44" i="24" s="1"/>
  <c r="J44" i="24"/>
  <c r="L44" i="24" s="1"/>
  <c r="U44" i="24"/>
  <c r="Y43" i="24"/>
  <c r="J43" i="24" s="1"/>
  <c r="X43" i="24"/>
  <c r="W43" i="24"/>
  <c r="L43" i="24"/>
  <c r="U43" i="24"/>
  <c r="R43" i="24"/>
  <c r="T43" i="24" s="1"/>
  <c r="Y42" i="24"/>
  <c r="X42" i="24"/>
  <c r="W42" i="24"/>
  <c r="T42" i="24"/>
  <c r="J42" i="24"/>
  <c r="L42" i="24" s="1"/>
  <c r="U42" i="24"/>
  <c r="R42" i="24"/>
  <c r="Y41" i="24"/>
  <c r="X41" i="24"/>
  <c r="W41" i="24"/>
  <c r="R41" i="24"/>
  <c r="T41" i="24" s="1"/>
  <c r="J41" i="24"/>
  <c r="L41" i="24" s="1"/>
  <c r="U41" i="24"/>
  <c r="Y40" i="24"/>
  <c r="J40" i="24" s="1"/>
  <c r="L40" i="24" s="1"/>
  <c r="X40" i="24"/>
  <c r="W40" i="24"/>
  <c r="R40" i="24"/>
  <c r="T40" i="24" s="1"/>
  <c r="V40" i="24" s="1"/>
  <c r="G40" i="24"/>
  <c r="U40" i="24"/>
  <c r="Y39" i="24"/>
  <c r="J39" i="24" s="1"/>
  <c r="X39" i="24"/>
  <c r="W39" i="24"/>
  <c r="L39" i="24"/>
  <c r="G39" i="24"/>
  <c r="M39" i="24" s="1"/>
  <c r="U39" i="24"/>
  <c r="R39" i="24"/>
  <c r="T39" i="24" s="1"/>
  <c r="Y38" i="24"/>
  <c r="X38" i="24"/>
  <c r="W38" i="24"/>
  <c r="T38" i="24"/>
  <c r="J38" i="24"/>
  <c r="L38" i="24" s="1"/>
  <c r="U38" i="24"/>
  <c r="R38" i="24"/>
  <c r="Y37" i="24"/>
  <c r="J37" i="24" s="1"/>
  <c r="L37" i="24" s="1"/>
  <c r="X37" i="24"/>
  <c r="W37" i="24"/>
  <c r="R37" i="24"/>
  <c r="T37" i="24" s="1"/>
  <c r="U37" i="24"/>
  <c r="Y36" i="24"/>
  <c r="J36" i="24" s="1"/>
  <c r="L36" i="24" s="1"/>
  <c r="X36" i="24"/>
  <c r="W36" i="24"/>
  <c r="R36" i="24"/>
  <c r="T36" i="24" s="1"/>
  <c r="U36" i="24"/>
  <c r="Y35" i="24"/>
  <c r="J35" i="24" s="1"/>
  <c r="X35" i="24"/>
  <c r="W35" i="24"/>
  <c r="L35" i="24"/>
  <c r="U35" i="24"/>
  <c r="R35" i="24"/>
  <c r="T35" i="24" s="1"/>
  <c r="Y34" i="24"/>
  <c r="J34" i="24" s="1"/>
  <c r="L34" i="24" s="1"/>
  <c r="X34" i="24"/>
  <c r="W34" i="24"/>
  <c r="U34" i="24"/>
  <c r="R34" i="24"/>
  <c r="T34" i="24" s="1"/>
  <c r="V34" i="24" s="1"/>
  <c r="Y33" i="24"/>
  <c r="J33" i="24" s="1"/>
  <c r="L33" i="24" s="1"/>
  <c r="X33" i="24"/>
  <c r="W33" i="24"/>
  <c r="U33" i="24"/>
  <c r="G33" i="24"/>
  <c r="M33" i="24" s="1"/>
  <c r="Y32" i="24"/>
  <c r="J32" i="24" s="1"/>
  <c r="L32" i="24" s="1"/>
  <c r="X32" i="24"/>
  <c r="W32" i="24"/>
  <c r="U32" i="24"/>
  <c r="R32" i="24"/>
  <c r="T32" i="24" s="1"/>
  <c r="V32" i="24" s="1"/>
  <c r="Y31" i="24"/>
  <c r="J31" i="24" s="1"/>
  <c r="L31" i="24" s="1"/>
  <c r="X31" i="24"/>
  <c r="W31" i="24"/>
  <c r="U31" i="24"/>
  <c r="R31" i="24"/>
  <c r="T31" i="24" s="1"/>
  <c r="V31" i="24" s="1"/>
  <c r="W29" i="24"/>
  <c r="U29" i="24"/>
  <c r="W28" i="24"/>
  <c r="U28" i="24"/>
  <c r="W27" i="24"/>
  <c r="U27" i="24"/>
  <c r="W25" i="24"/>
  <c r="U24" i="24"/>
  <c r="U23" i="24"/>
  <c r="U22" i="24"/>
  <c r="U21" i="24"/>
  <c r="W20" i="24"/>
  <c r="U20" i="24"/>
  <c r="W19" i="24"/>
  <c r="U19" i="24"/>
  <c r="W18" i="24"/>
  <c r="U18" i="24"/>
  <c r="W17" i="24"/>
  <c r="U17" i="24"/>
  <c r="Y15" i="24"/>
  <c r="J15" i="24" s="1"/>
  <c r="L15" i="24" s="1"/>
  <c r="X15" i="24"/>
  <c r="W15" i="24"/>
  <c r="U15" i="24"/>
  <c r="Y14" i="24"/>
  <c r="X14" i="24"/>
  <c r="W14" i="24"/>
  <c r="J14" i="24"/>
  <c r="L14" i="24" s="1"/>
  <c r="G14" i="24"/>
  <c r="M14" i="24" s="1"/>
  <c r="U14" i="24"/>
  <c r="R14" i="24"/>
  <c r="T14" i="24" s="1"/>
  <c r="Y13" i="24"/>
  <c r="X13" i="24"/>
  <c r="W13" i="24"/>
  <c r="U13" i="24"/>
  <c r="J13" i="24"/>
  <c r="L13" i="24" s="1"/>
  <c r="Y12" i="24"/>
  <c r="X12" i="24"/>
  <c r="W12" i="24"/>
  <c r="J12" i="24"/>
  <c r="L12" i="24" s="1"/>
  <c r="U12" i="24"/>
  <c r="U5" i="24"/>
  <c r="U4" i="24"/>
  <c r="L49" i="23"/>
  <c r="D49" i="23"/>
  <c r="L48" i="23"/>
  <c r="G48" i="23"/>
  <c r="S47" i="23"/>
  <c r="K47" i="23"/>
  <c r="K50" i="23" s="1"/>
  <c r="U46" i="23"/>
  <c r="X46" i="23"/>
  <c r="W45" i="23"/>
  <c r="X45" i="23"/>
  <c r="U45" i="23"/>
  <c r="W44" i="23"/>
  <c r="U44" i="23"/>
  <c r="U43" i="23"/>
  <c r="U42" i="23"/>
  <c r="U41" i="23"/>
  <c r="U40" i="23"/>
  <c r="U39" i="23"/>
  <c r="U38" i="23"/>
  <c r="U37" i="23"/>
  <c r="X37" i="23"/>
  <c r="U36" i="23"/>
  <c r="W36" i="23"/>
  <c r="X36" i="23" s="1"/>
  <c r="X35" i="23"/>
  <c r="W34" i="23"/>
  <c r="X34" i="23" s="1"/>
  <c r="W33" i="23"/>
  <c r="X33" i="23" s="1"/>
  <c r="U33" i="23"/>
  <c r="U31" i="23"/>
  <c r="U29" i="23"/>
  <c r="U28" i="23"/>
  <c r="U27" i="23"/>
  <c r="U25" i="23"/>
  <c r="H23" i="25"/>
  <c r="U23" i="23"/>
  <c r="U20" i="23"/>
  <c r="U19" i="23"/>
  <c r="W18" i="23"/>
  <c r="X18" i="23" s="1"/>
  <c r="U18" i="23"/>
  <c r="U17" i="23"/>
  <c r="X17" i="23"/>
  <c r="U15" i="23"/>
  <c r="X15" i="23"/>
  <c r="U13" i="23"/>
  <c r="X13" i="23"/>
  <c r="U12" i="23"/>
  <c r="X12" i="23"/>
  <c r="T5" i="23"/>
  <c r="T4" i="23"/>
  <c r="I33" i="16"/>
  <c r="V35" i="24" l="1"/>
  <c r="G44" i="24"/>
  <c r="M44" i="24" s="1"/>
  <c r="G35" i="24"/>
  <c r="M35" i="24" s="1"/>
  <c r="G36" i="24"/>
  <c r="G43" i="24"/>
  <c r="G14" i="25"/>
  <c r="M14" i="25" s="1"/>
  <c r="W46" i="23"/>
  <c r="G32" i="24"/>
  <c r="R33" i="24"/>
  <c r="T33" i="24" s="1"/>
  <c r="G34" i="24"/>
  <c r="V44" i="24"/>
  <c r="G31" i="25"/>
  <c r="M31" i="25" s="1"/>
  <c r="G35" i="25"/>
  <c r="M35" i="25" s="1"/>
  <c r="F47" i="23"/>
  <c r="F50" i="23" s="1"/>
  <c r="G31" i="24"/>
  <c r="M31" i="24" s="1"/>
  <c r="G13" i="25"/>
  <c r="F46" i="25"/>
  <c r="F49" i="25" s="1"/>
  <c r="G12" i="24"/>
  <c r="V39" i="24"/>
  <c r="G41" i="24"/>
  <c r="M41" i="24" s="1"/>
  <c r="U14" i="25"/>
  <c r="G47" i="25"/>
  <c r="V43" i="24"/>
  <c r="G43" i="25"/>
  <c r="M43" i="25" s="1"/>
  <c r="U24" i="25"/>
  <c r="W23" i="25"/>
  <c r="X23" i="25" s="1"/>
  <c r="H25" i="25"/>
  <c r="W25" i="23"/>
  <c r="X25" i="23" s="1"/>
  <c r="J12" i="25"/>
  <c r="U34" i="23"/>
  <c r="X40" i="23"/>
  <c r="W40" i="23"/>
  <c r="H26" i="24"/>
  <c r="W26" i="23"/>
  <c r="X26" i="23" s="1"/>
  <c r="H26" i="25"/>
  <c r="U35" i="23"/>
  <c r="X41" i="23"/>
  <c r="W41" i="23"/>
  <c r="M12" i="24"/>
  <c r="V33" i="24"/>
  <c r="M34" i="24"/>
  <c r="U21" i="25"/>
  <c r="U46" i="25" s="1"/>
  <c r="E46" i="25"/>
  <c r="E49" i="25" s="1"/>
  <c r="G37" i="25"/>
  <c r="M37" i="25" s="1"/>
  <c r="R37" i="25"/>
  <c r="T37" i="25" s="1"/>
  <c r="V37" i="25" s="1"/>
  <c r="V38" i="24"/>
  <c r="M40" i="24"/>
  <c r="R15" i="25"/>
  <c r="T15" i="25" s="1"/>
  <c r="V15" i="25" s="1"/>
  <c r="G15" i="25"/>
  <c r="M15" i="25" s="1"/>
  <c r="X27" i="23"/>
  <c r="W27" i="23"/>
  <c r="W19" i="23"/>
  <c r="X19" i="23"/>
  <c r="X28" i="23"/>
  <c r="W28" i="23"/>
  <c r="W38" i="23"/>
  <c r="X38" i="23" s="1"/>
  <c r="X42" i="23"/>
  <c r="W42" i="23"/>
  <c r="E46" i="24"/>
  <c r="E49" i="24" s="1"/>
  <c r="R15" i="24"/>
  <c r="T15" i="24" s="1"/>
  <c r="V15" i="24" s="1"/>
  <c r="G15" i="24"/>
  <c r="M15" i="24" s="1"/>
  <c r="W20" i="23"/>
  <c r="X20" i="23"/>
  <c r="X29" i="23"/>
  <c r="W29" i="23"/>
  <c r="V42" i="24"/>
  <c r="M43" i="24"/>
  <c r="W23" i="23"/>
  <c r="X23" i="23" s="1"/>
  <c r="H23" i="24"/>
  <c r="H24" i="24"/>
  <c r="W24" i="23"/>
  <c r="X24" i="23" s="1"/>
  <c r="H24" i="25"/>
  <c r="H21" i="25"/>
  <c r="H21" i="24"/>
  <c r="W21" i="23"/>
  <c r="X21" i="23" s="1"/>
  <c r="H22" i="24"/>
  <c r="H22" i="25"/>
  <c r="W22" i="23"/>
  <c r="X22" i="23" s="1"/>
  <c r="X31" i="23"/>
  <c r="W31" i="23"/>
  <c r="W32" i="23"/>
  <c r="X32" i="23" s="1"/>
  <c r="X39" i="23"/>
  <c r="X43" i="23"/>
  <c r="W43" i="23"/>
  <c r="R12" i="24"/>
  <c r="V45" i="24"/>
  <c r="W37" i="23"/>
  <c r="G37" i="24"/>
  <c r="M37" i="24" s="1"/>
  <c r="R32" i="25"/>
  <c r="T32" i="25" s="1"/>
  <c r="V32" i="25" s="1"/>
  <c r="G32" i="25"/>
  <c r="M32" i="25" s="1"/>
  <c r="G38" i="25"/>
  <c r="M38" i="25" s="1"/>
  <c r="G45" i="25"/>
  <c r="M45" i="25" s="1"/>
  <c r="R44" i="25"/>
  <c r="T44" i="25" s="1"/>
  <c r="V44" i="25" s="1"/>
  <c r="G44" i="25"/>
  <c r="M44" i="25" s="1"/>
  <c r="G49" i="23"/>
  <c r="M36" i="24"/>
  <c r="M13" i="25"/>
  <c r="G33" i="25"/>
  <c r="M33" i="25" s="1"/>
  <c r="V39" i="25"/>
  <c r="U46" i="24"/>
  <c r="M32" i="24"/>
  <c r="M34" i="25"/>
  <c r="M41" i="25"/>
  <c r="R40" i="25"/>
  <c r="T40" i="25" s="1"/>
  <c r="V40" i="25" s="1"/>
  <c r="G40" i="25"/>
  <c r="M40" i="25" s="1"/>
  <c r="W12" i="23"/>
  <c r="W13" i="23"/>
  <c r="W14" i="23"/>
  <c r="X14" i="23" s="1"/>
  <c r="W15" i="23"/>
  <c r="W17" i="23"/>
  <c r="F46" i="24"/>
  <c r="F49" i="24" s="1"/>
  <c r="G13" i="24"/>
  <c r="M13" i="24" s="1"/>
  <c r="V36" i="24"/>
  <c r="V37" i="24"/>
  <c r="G38" i="24"/>
  <c r="M38" i="24" s="1"/>
  <c r="V41" i="24"/>
  <c r="G42" i="24"/>
  <c r="M42" i="24" s="1"/>
  <c r="V35" i="25"/>
  <c r="R45" i="25"/>
  <c r="T45" i="25" s="1"/>
  <c r="V45" i="25" s="1"/>
  <c r="V14" i="24"/>
  <c r="G45" i="24"/>
  <c r="M45" i="24" s="1"/>
  <c r="V14" i="25"/>
  <c r="R36" i="25"/>
  <c r="T36" i="25" s="1"/>
  <c r="V36" i="25" s="1"/>
  <c r="G36" i="25"/>
  <c r="M36" i="25" s="1"/>
  <c r="G42" i="25"/>
  <c r="M42" i="25" s="1"/>
  <c r="R12" i="25"/>
  <c r="R13" i="24"/>
  <c r="T13" i="24" s="1"/>
  <c r="V13" i="24" s="1"/>
  <c r="R34" i="25"/>
  <c r="T34" i="25" s="1"/>
  <c r="V34" i="25" s="1"/>
  <c r="R38" i="25"/>
  <c r="T38" i="25" s="1"/>
  <c r="V38" i="25" s="1"/>
  <c r="R42" i="25"/>
  <c r="T42" i="25" s="1"/>
  <c r="V42" i="25" s="1"/>
  <c r="X18" i="18"/>
  <c r="W18" i="18"/>
  <c r="W24" i="25" l="1"/>
  <c r="X24" i="25" s="1"/>
  <c r="W25" i="25"/>
  <c r="X25" i="25" s="1"/>
  <c r="W22" i="24"/>
  <c r="X22" i="24" s="1"/>
  <c r="L12" i="25"/>
  <c r="W24" i="24"/>
  <c r="X24" i="24" s="1"/>
  <c r="W26" i="24"/>
  <c r="X26" i="24" s="1"/>
  <c r="W22" i="25"/>
  <c r="X22" i="25" s="1"/>
  <c r="W26" i="25"/>
  <c r="X26" i="25" s="1"/>
  <c r="T12" i="25"/>
  <c r="W21" i="24"/>
  <c r="X21" i="24" s="1"/>
  <c r="W21" i="25"/>
  <c r="X21" i="25" s="1"/>
  <c r="T12" i="24"/>
  <c r="W23" i="24"/>
  <c r="X23" i="24" s="1"/>
  <c r="E48" i="8"/>
  <c r="V12" i="24" l="1"/>
  <c r="V12" i="25"/>
  <c r="M12" i="25"/>
  <c r="U33" i="20"/>
  <c r="R33" i="16"/>
  <c r="W33" i="20" l="1"/>
  <c r="X33" i="20" s="1"/>
  <c r="W33" i="16" l="1"/>
  <c r="X33" i="16" s="1"/>
  <c r="J31" i="16"/>
  <c r="X35" i="20"/>
  <c r="L48" i="22" l="1"/>
  <c r="D48" i="22"/>
  <c r="L47" i="22"/>
  <c r="D47" i="22"/>
  <c r="S46" i="22"/>
  <c r="K46" i="22"/>
  <c r="K49" i="22" s="1"/>
  <c r="Y45" i="22"/>
  <c r="J45" i="22" s="1"/>
  <c r="L45" i="22" s="1"/>
  <c r="X45" i="22"/>
  <c r="W45" i="22"/>
  <c r="U45" i="22"/>
  <c r="R45" i="22"/>
  <c r="T45" i="22" s="1"/>
  <c r="Y44" i="22"/>
  <c r="J44" i="22" s="1"/>
  <c r="L44" i="22" s="1"/>
  <c r="X44" i="22"/>
  <c r="W44" i="22"/>
  <c r="U44" i="22"/>
  <c r="Y43" i="22"/>
  <c r="J43" i="22" s="1"/>
  <c r="L43" i="22" s="1"/>
  <c r="X43" i="22"/>
  <c r="W43" i="22"/>
  <c r="U43" i="22"/>
  <c r="R43" i="22"/>
  <c r="T43" i="22" s="1"/>
  <c r="Y42" i="22"/>
  <c r="J42" i="22" s="1"/>
  <c r="L42" i="22" s="1"/>
  <c r="X42" i="22"/>
  <c r="W42" i="22"/>
  <c r="U42" i="22"/>
  <c r="Y41" i="22"/>
  <c r="J41" i="22" s="1"/>
  <c r="L41" i="22" s="1"/>
  <c r="X41" i="22"/>
  <c r="W41" i="22"/>
  <c r="U41" i="22"/>
  <c r="R41" i="22"/>
  <c r="T41" i="22" s="1"/>
  <c r="Y40" i="22"/>
  <c r="J40" i="22" s="1"/>
  <c r="L40" i="22" s="1"/>
  <c r="X40" i="22"/>
  <c r="W40" i="22"/>
  <c r="U40" i="22"/>
  <c r="R40" i="22"/>
  <c r="T40" i="22" s="1"/>
  <c r="Y39" i="22"/>
  <c r="J39" i="22" s="1"/>
  <c r="L39" i="22" s="1"/>
  <c r="X39" i="22"/>
  <c r="W39" i="22"/>
  <c r="U39" i="22"/>
  <c r="Y38" i="22"/>
  <c r="J38" i="22" s="1"/>
  <c r="L38" i="22" s="1"/>
  <c r="X38" i="22"/>
  <c r="W38" i="22"/>
  <c r="U38" i="22"/>
  <c r="Y37" i="22"/>
  <c r="J37" i="22" s="1"/>
  <c r="L37" i="22" s="1"/>
  <c r="X37" i="22"/>
  <c r="W37" i="22"/>
  <c r="U37" i="22"/>
  <c r="R37" i="22"/>
  <c r="T37" i="22" s="1"/>
  <c r="Y36" i="22"/>
  <c r="J36" i="22" s="1"/>
  <c r="L36" i="22" s="1"/>
  <c r="X36" i="22"/>
  <c r="W36" i="22"/>
  <c r="U36" i="22"/>
  <c r="R36" i="22"/>
  <c r="T36" i="22" s="1"/>
  <c r="Y35" i="22"/>
  <c r="J35" i="22" s="1"/>
  <c r="L35" i="22" s="1"/>
  <c r="X35" i="22"/>
  <c r="W35" i="22"/>
  <c r="U35" i="22"/>
  <c r="Y34" i="22"/>
  <c r="J34" i="22" s="1"/>
  <c r="L34" i="22" s="1"/>
  <c r="X34" i="22"/>
  <c r="W34" i="22"/>
  <c r="U34" i="22"/>
  <c r="Y33" i="22"/>
  <c r="J33" i="22" s="1"/>
  <c r="L33" i="22" s="1"/>
  <c r="X33" i="22"/>
  <c r="W33" i="22"/>
  <c r="U33" i="22"/>
  <c r="R33" i="22"/>
  <c r="T33" i="22" s="1"/>
  <c r="Y32" i="22"/>
  <c r="J32" i="22" s="1"/>
  <c r="L32" i="22" s="1"/>
  <c r="X32" i="22"/>
  <c r="W32" i="22"/>
  <c r="U32" i="22"/>
  <c r="Y31" i="22"/>
  <c r="J31" i="22" s="1"/>
  <c r="L31" i="22" s="1"/>
  <c r="X31" i="22"/>
  <c r="W31" i="22"/>
  <c r="U31" i="22"/>
  <c r="R31" i="22"/>
  <c r="T31" i="22" s="1"/>
  <c r="Y29" i="22"/>
  <c r="J29" i="22" s="1"/>
  <c r="X29" i="22"/>
  <c r="W29" i="22"/>
  <c r="U29" i="22"/>
  <c r="Y28" i="22"/>
  <c r="J28" i="22" s="1"/>
  <c r="X28" i="22"/>
  <c r="W28" i="22"/>
  <c r="U28" i="22"/>
  <c r="Y27" i="22"/>
  <c r="J27" i="22" s="1"/>
  <c r="X27" i="22"/>
  <c r="W27" i="22"/>
  <c r="U27" i="22"/>
  <c r="U25" i="22"/>
  <c r="U23" i="22"/>
  <c r="W20" i="22"/>
  <c r="U20" i="22"/>
  <c r="W19" i="22"/>
  <c r="U19" i="22"/>
  <c r="X18" i="22"/>
  <c r="W18" i="22"/>
  <c r="U18" i="22"/>
  <c r="Y17" i="22"/>
  <c r="J17" i="22" s="1"/>
  <c r="X17" i="22"/>
  <c r="W17" i="22"/>
  <c r="U17" i="22"/>
  <c r="Y15" i="22"/>
  <c r="J15" i="22" s="1"/>
  <c r="L15" i="22" s="1"/>
  <c r="X15" i="22"/>
  <c r="W15" i="22"/>
  <c r="U15" i="22"/>
  <c r="Y14" i="22"/>
  <c r="J14" i="22" s="1"/>
  <c r="L14" i="22" s="1"/>
  <c r="X14" i="22"/>
  <c r="W14" i="22"/>
  <c r="U14" i="22"/>
  <c r="R14" i="22"/>
  <c r="T14" i="22" s="1"/>
  <c r="Y13" i="22"/>
  <c r="J13" i="22" s="1"/>
  <c r="L13" i="22" s="1"/>
  <c r="X13" i="22"/>
  <c r="W13" i="22"/>
  <c r="U13" i="22"/>
  <c r="R13" i="22"/>
  <c r="T13" i="22" s="1"/>
  <c r="Y12" i="22"/>
  <c r="J12" i="22" s="1"/>
  <c r="X12" i="22"/>
  <c r="W12" i="22"/>
  <c r="R12" i="22"/>
  <c r="U5" i="22"/>
  <c r="U4" i="22"/>
  <c r="L48" i="21"/>
  <c r="D48" i="21"/>
  <c r="L47" i="21"/>
  <c r="D47" i="21"/>
  <c r="S46" i="21"/>
  <c r="K46" i="21"/>
  <c r="K49" i="21" s="1"/>
  <c r="Y45" i="21"/>
  <c r="J45" i="21" s="1"/>
  <c r="L45" i="21" s="1"/>
  <c r="X45" i="21"/>
  <c r="W45" i="21"/>
  <c r="U45" i="21"/>
  <c r="R45" i="21"/>
  <c r="T45" i="21" s="1"/>
  <c r="Y44" i="21"/>
  <c r="J44" i="21" s="1"/>
  <c r="L44" i="21" s="1"/>
  <c r="X44" i="21"/>
  <c r="W44" i="21"/>
  <c r="U44" i="21"/>
  <c r="R44" i="21"/>
  <c r="T44" i="21" s="1"/>
  <c r="Y43" i="21"/>
  <c r="J43" i="21" s="1"/>
  <c r="L43" i="21" s="1"/>
  <c r="X43" i="21"/>
  <c r="W43" i="21"/>
  <c r="U43" i="21"/>
  <c r="R43" i="21"/>
  <c r="T43" i="21" s="1"/>
  <c r="Y42" i="21"/>
  <c r="J42" i="21" s="1"/>
  <c r="L42" i="21" s="1"/>
  <c r="X42" i="21"/>
  <c r="W42" i="21"/>
  <c r="U42" i="21"/>
  <c r="R42" i="21"/>
  <c r="T42" i="21" s="1"/>
  <c r="Y41" i="21"/>
  <c r="J41" i="21" s="1"/>
  <c r="L41" i="21" s="1"/>
  <c r="X41" i="21"/>
  <c r="W41" i="21"/>
  <c r="U41" i="21"/>
  <c r="Y40" i="21"/>
  <c r="J40" i="21" s="1"/>
  <c r="L40" i="21" s="1"/>
  <c r="X40" i="21"/>
  <c r="W40" i="21"/>
  <c r="U40" i="21"/>
  <c r="R40" i="21"/>
  <c r="T40" i="21" s="1"/>
  <c r="Y39" i="21"/>
  <c r="J39" i="21" s="1"/>
  <c r="L39" i="21" s="1"/>
  <c r="X39" i="21"/>
  <c r="W39" i="21"/>
  <c r="U39" i="21"/>
  <c r="R39" i="21"/>
  <c r="T39" i="21" s="1"/>
  <c r="Y38" i="21"/>
  <c r="J38" i="21" s="1"/>
  <c r="L38" i="21" s="1"/>
  <c r="X38" i="21"/>
  <c r="W38" i="21"/>
  <c r="U38" i="21"/>
  <c r="R38" i="21"/>
  <c r="T38" i="21" s="1"/>
  <c r="Y37" i="21"/>
  <c r="J37" i="21" s="1"/>
  <c r="L37" i="21" s="1"/>
  <c r="X37" i="21"/>
  <c r="W37" i="21"/>
  <c r="U37" i="21"/>
  <c r="R37" i="21"/>
  <c r="T37" i="21" s="1"/>
  <c r="Y36" i="21"/>
  <c r="J36" i="21" s="1"/>
  <c r="L36" i="21" s="1"/>
  <c r="X36" i="21"/>
  <c r="W36" i="21"/>
  <c r="U36" i="21"/>
  <c r="R36" i="21"/>
  <c r="T36" i="21" s="1"/>
  <c r="Y35" i="21"/>
  <c r="J35" i="21" s="1"/>
  <c r="L35" i="21" s="1"/>
  <c r="X35" i="21"/>
  <c r="W35" i="21"/>
  <c r="U35" i="21"/>
  <c r="Y34" i="21"/>
  <c r="J34" i="21" s="1"/>
  <c r="L34" i="21" s="1"/>
  <c r="X34" i="21"/>
  <c r="W34" i="21"/>
  <c r="U34" i="21"/>
  <c r="Y33" i="21"/>
  <c r="J33" i="21" s="1"/>
  <c r="L33" i="21" s="1"/>
  <c r="X33" i="21"/>
  <c r="W33" i="21"/>
  <c r="U33" i="21"/>
  <c r="R33" i="21"/>
  <c r="T33" i="21" s="1"/>
  <c r="Y32" i="21"/>
  <c r="J32" i="21" s="1"/>
  <c r="L32" i="21" s="1"/>
  <c r="X32" i="21"/>
  <c r="W32" i="21"/>
  <c r="U32" i="21"/>
  <c r="R32" i="21"/>
  <c r="T32" i="21" s="1"/>
  <c r="Y31" i="21"/>
  <c r="J31" i="21" s="1"/>
  <c r="L31" i="21" s="1"/>
  <c r="X31" i="21"/>
  <c r="W31" i="21"/>
  <c r="U31" i="21"/>
  <c r="R31" i="21"/>
  <c r="T31" i="21" s="1"/>
  <c r="Y29" i="21"/>
  <c r="X29" i="21"/>
  <c r="W29" i="21"/>
  <c r="U29" i="21"/>
  <c r="Y28" i="21"/>
  <c r="X28" i="21"/>
  <c r="W28" i="21"/>
  <c r="U28" i="21"/>
  <c r="Y27" i="21"/>
  <c r="X27" i="21"/>
  <c r="W27" i="21"/>
  <c r="U27" i="21"/>
  <c r="W25" i="21"/>
  <c r="U23" i="21"/>
  <c r="Y20" i="21"/>
  <c r="J20" i="21" s="1"/>
  <c r="X20" i="21"/>
  <c r="W20" i="21"/>
  <c r="Y19" i="21"/>
  <c r="J19" i="21" s="1"/>
  <c r="X19" i="21"/>
  <c r="W19" i="21"/>
  <c r="U19" i="21"/>
  <c r="Y18" i="21"/>
  <c r="J18" i="21" s="1"/>
  <c r="X18" i="21"/>
  <c r="W18" i="21"/>
  <c r="Y17" i="21"/>
  <c r="J17" i="21" s="1"/>
  <c r="X17" i="21"/>
  <c r="W17" i="21"/>
  <c r="U17" i="21"/>
  <c r="Y15" i="21"/>
  <c r="J15" i="21" s="1"/>
  <c r="L15" i="21" s="1"/>
  <c r="X15" i="21"/>
  <c r="W15" i="21"/>
  <c r="U15" i="21"/>
  <c r="Y14" i="21"/>
  <c r="J14" i="21" s="1"/>
  <c r="L14" i="21" s="1"/>
  <c r="X14" i="21"/>
  <c r="W14" i="21"/>
  <c r="U14" i="21"/>
  <c r="R14" i="21"/>
  <c r="T14" i="21" s="1"/>
  <c r="Y13" i="21"/>
  <c r="J13" i="21" s="1"/>
  <c r="L13" i="21" s="1"/>
  <c r="X13" i="21"/>
  <c r="W13" i="21"/>
  <c r="U13" i="21"/>
  <c r="Y12" i="21"/>
  <c r="J12" i="21" s="1"/>
  <c r="X12" i="21"/>
  <c r="W12" i="21"/>
  <c r="R12" i="21"/>
  <c r="T12" i="21" s="1"/>
  <c r="U5" i="21"/>
  <c r="U4" i="21"/>
  <c r="L49" i="20"/>
  <c r="L48" i="20"/>
  <c r="S47" i="20"/>
  <c r="K47" i="20"/>
  <c r="K50" i="20" s="1"/>
  <c r="X46" i="20"/>
  <c r="U46" i="20"/>
  <c r="W45" i="20"/>
  <c r="U45" i="20"/>
  <c r="U44" i="20"/>
  <c r="W43" i="20"/>
  <c r="U43" i="20"/>
  <c r="W41" i="20"/>
  <c r="U41" i="20"/>
  <c r="U40" i="20"/>
  <c r="U39" i="20"/>
  <c r="U38" i="20"/>
  <c r="U37" i="20"/>
  <c r="W36" i="20"/>
  <c r="X36" i="20" s="1"/>
  <c r="U36" i="20"/>
  <c r="W34" i="20"/>
  <c r="X31" i="20"/>
  <c r="U31" i="20"/>
  <c r="X29" i="20"/>
  <c r="X28" i="20"/>
  <c r="X27" i="20"/>
  <c r="H25" i="22"/>
  <c r="W24" i="20"/>
  <c r="W23" i="20"/>
  <c r="H22" i="21"/>
  <c r="W22" i="21" s="1"/>
  <c r="X20" i="20"/>
  <c r="X19" i="20"/>
  <c r="X15" i="20"/>
  <c r="U15" i="20"/>
  <c r="J14" i="20"/>
  <c r="X13" i="20"/>
  <c r="X12" i="20"/>
  <c r="U12" i="20"/>
  <c r="T5" i="20"/>
  <c r="T4" i="20"/>
  <c r="V37" i="21" l="1"/>
  <c r="G41" i="21"/>
  <c r="V33" i="21"/>
  <c r="G42" i="22"/>
  <c r="M42" i="22" s="1"/>
  <c r="G38" i="22"/>
  <c r="M38" i="22" s="1"/>
  <c r="V36" i="21"/>
  <c r="V42" i="21"/>
  <c r="V45" i="21"/>
  <c r="V41" i="22"/>
  <c r="V45" i="22"/>
  <c r="V43" i="22"/>
  <c r="H24" i="21"/>
  <c r="W24" i="21" s="1"/>
  <c r="G33" i="21"/>
  <c r="M33" i="21" s="1"/>
  <c r="G48" i="22"/>
  <c r="W25" i="20"/>
  <c r="X25" i="20" s="1"/>
  <c r="Y28" i="20"/>
  <c r="J28" i="20" s="1"/>
  <c r="V44" i="21"/>
  <c r="G47" i="22"/>
  <c r="V37" i="22"/>
  <c r="V43" i="21"/>
  <c r="G43" i="21"/>
  <c r="M43" i="21" s="1"/>
  <c r="W37" i="20"/>
  <c r="R41" i="21"/>
  <c r="T41" i="21" s="1"/>
  <c r="V41" i="21" s="1"/>
  <c r="V13" i="22"/>
  <c r="G36" i="22"/>
  <c r="M36" i="22" s="1"/>
  <c r="G37" i="21"/>
  <c r="M37" i="21" s="1"/>
  <c r="V31" i="21"/>
  <c r="G14" i="22"/>
  <c r="M14" i="22" s="1"/>
  <c r="Y17" i="20"/>
  <c r="J17" i="20" s="1"/>
  <c r="G13" i="22"/>
  <c r="M13" i="22" s="1"/>
  <c r="V33" i="22"/>
  <c r="V39" i="21"/>
  <c r="G44" i="21"/>
  <c r="M44" i="21" s="1"/>
  <c r="G33" i="22"/>
  <c r="M33" i="22" s="1"/>
  <c r="X45" i="20"/>
  <c r="G45" i="21"/>
  <c r="M45" i="21" s="1"/>
  <c r="V31" i="22"/>
  <c r="W22" i="20"/>
  <c r="X22" i="20" s="1"/>
  <c r="W46" i="20"/>
  <c r="G12" i="21"/>
  <c r="G31" i="21"/>
  <c r="M31" i="21" s="1"/>
  <c r="W15" i="20"/>
  <c r="W27" i="20"/>
  <c r="W28" i="20"/>
  <c r="W29" i="20"/>
  <c r="U42" i="20"/>
  <c r="W44" i="20"/>
  <c r="V14" i="21"/>
  <c r="G39" i="21"/>
  <c r="M39" i="21" s="1"/>
  <c r="M41" i="21"/>
  <c r="H22" i="22"/>
  <c r="W22" i="22" s="1"/>
  <c r="X22" i="22" s="1"/>
  <c r="G35" i="22"/>
  <c r="M35" i="22" s="1"/>
  <c r="G40" i="22"/>
  <c r="M40" i="22" s="1"/>
  <c r="W42" i="20"/>
  <c r="G36" i="21"/>
  <c r="M36" i="21" s="1"/>
  <c r="G37" i="22"/>
  <c r="M37" i="22" s="1"/>
  <c r="W18" i="20"/>
  <c r="X18" i="20" s="1"/>
  <c r="W20" i="20"/>
  <c r="W31" i="20"/>
  <c r="W13" i="20"/>
  <c r="U12" i="21"/>
  <c r="V12" i="21" s="1"/>
  <c r="G14" i="21"/>
  <c r="M14" i="21" s="1"/>
  <c r="R38" i="22"/>
  <c r="T38" i="22" s="1"/>
  <c r="V38" i="22" s="1"/>
  <c r="G41" i="22"/>
  <c r="M41" i="22" s="1"/>
  <c r="G45" i="22"/>
  <c r="M45" i="22" s="1"/>
  <c r="G48" i="21"/>
  <c r="V40" i="22"/>
  <c r="R42" i="22"/>
  <c r="T42" i="22" s="1"/>
  <c r="V42" i="22" s="1"/>
  <c r="L12" i="22"/>
  <c r="G39" i="22"/>
  <c r="M39" i="22" s="1"/>
  <c r="R39" i="22"/>
  <c r="T39" i="22" s="1"/>
  <c r="V39" i="22" s="1"/>
  <c r="F47" i="20"/>
  <c r="W38" i="20"/>
  <c r="X38" i="20" s="1"/>
  <c r="H26" i="21"/>
  <c r="W26" i="20"/>
  <c r="X26" i="20" s="1"/>
  <c r="G35" i="21"/>
  <c r="M35" i="21" s="1"/>
  <c r="R35" i="21"/>
  <c r="T35" i="21" s="1"/>
  <c r="V35" i="21" s="1"/>
  <c r="G15" i="21"/>
  <c r="M15" i="21" s="1"/>
  <c r="R15" i="21"/>
  <c r="T15" i="21" s="1"/>
  <c r="V15" i="21" s="1"/>
  <c r="R44" i="22"/>
  <c r="T44" i="22" s="1"/>
  <c r="V44" i="22" s="1"/>
  <c r="G44" i="22"/>
  <c r="M44" i="22" s="1"/>
  <c r="U18" i="21"/>
  <c r="H26" i="22"/>
  <c r="W32" i="20"/>
  <c r="X32" i="20" s="1"/>
  <c r="X22" i="21"/>
  <c r="W25" i="22"/>
  <c r="X25" i="22" s="1"/>
  <c r="G40" i="21"/>
  <c r="M40" i="21" s="1"/>
  <c r="T12" i="22"/>
  <c r="J28" i="21"/>
  <c r="G34" i="21"/>
  <c r="M34" i="21" s="1"/>
  <c r="R34" i="21"/>
  <c r="T34" i="21" s="1"/>
  <c r="V34" i="21" s="1"/>
  <c r="W14" i="20"/>
  <c r="X14" i="20" s="1"/>
  <c r="V14" i="20" s="1"/>
  <c r="H21" i="21"/>
  <c r="H21" i="22"/>
  <c r="W21" i="20"/>
  <c r="X21" i="20" s="1"/>
  <c r="W12" i="20"/>
  <c r="U13" i="20"/>
  <c r="X17" i="20"/>
  <c r="W17" i="20"/>
  <c r="W19" i="20"/>
  <c r="H24" i="22"/>
  <c r="X24" i="20"/>
  <c r="J29" i="21"/>
  <c r="Y29" i="20"/>
  <c r="J29" i="20" s="1"/>
  <c r="V32" i="21"/>
  <c r="G34" i="22"/>
  <c r="M34" i="22" s="1"/>
  <c r="R34" i="22"/>
  <c r="T34" i="22" s="1"/>
  <c r="V34" i="22" s="1"/>
  <c r="L12" i="21"/>
  <c r="F46" i="22"/>
  <c r="F49" i="22" s="1"/>
  <c r="X34" i="20"/>
  <c r="J27" i="21"/>
  <c r="Y27" i="20"/>
  <c r="J27" i="20" s="1"/>
  <c r="V40" i="21"/>
  <c r="G12" i="22"/>
  <c r="R32" i="22"/>
  <c r="T32" i="22" s="1"/>
  <c r="V32" i="22" s="1"/>
  <c r="G32" i="22"/>
  <c r="M32" i="22" s="1"/>
  <c r="R13" i="21"/>
  <c r="G13" i="21"/>
  <c r="M13" i="21" s="1"/>
  <c r="U12" i="22"/>
  <c r="H23" i="22"/>
  <c r="X23" i="20"/>
  <c r="U20" i="21"/>
  <c r="V36" i="22"/>
  <c r="H23" i="21"/>
  <c r="G32" i="21"/>
  <c r="M32" i="21" s="1"/>
  <c r="V38" i="21"/>
  <c r="G15" i="22"/>
  <c r="M15" i="22" s="1"/>
  <c r="R15" i="22"/>
  <c r="T15" i="22" s="1"/>
  <c r="V15" i="22" s="1"/>
  <c r="R35" i="22"/>
  <c r="T35" i="22" s="1"/>
  <c r="V35" i="22" s="1"/>
  <c r="W40" i="20"/>
  <c r="G42" i="21"/>
  <c r="M42" i="21" s="1"/>
  <c r="V14" i="22"/>
  <c r="G43" i="22"/>
  <c r="M43" i="22" s="1"/>
  <c r="F46" i="21"/>
  <c r="F49" i="21" s="1"/>
  <c r="G38" i="21"/>
  <c r="M38" i="21" s="1"/>
  <c r="G47" i="21"/>
  <c r="G31" i="22"/>
  <c r="M31" i="22" s="1"/>
  <c r="X24" i="21" l="1"/>
  <c r="W26" i="21"/>
  <c r="X26" i="21" s="1"/>
  <c r="W26" i="22"/>
  <c r="X26" i="22" s="1"/>
  <c r="W24" i="22"/>
  <c r="X24" i="22" s="1"/>
  <c r="W21" i="22"/>
  <c r="X21" i="22" s="1"/>
  <c r="M12" i="22"/>
  <c r="W23" i="22"/>
  <c r="X23" i="22" s="1"/>
  <c r="T13" i="21"/>
  <c r="V12" i="22"/>
  <c r="W23" i="21"/>
  <c r="X23" i="21" s="1"/>
  <c r="W21" i="21"/>
  <c r="X21" i="21" s="1"/>
  <c r="M12" i="21"/>
  <c r="V13" i="21" l="1"/>
  <c r="U21" i="9" l="1"/>
  <c r="L48" i="18"/>
  <c r="D48" i="18"/>
  <c r="G48" i="18" s="1"/>
  <c r="L47" i="18"/>
  <c r="D47" i="18"/>
  <c r="G47" i="18" s="1"/>
  <c r="S46" i="18"/>
  <c r="K46" i="18"/>
  <c r="K49" i="18" s="1"/>
  <c r="Y45" i="18"/>
  <c r="J45" i="18" s="1"/>
  <c r="L45" i="18" s="1"/>
  <c r="X45" i="18"/>
  <c r="W45" i="18"/>
  <c r="U45" i="18"/>
  <c r="R45" i="18"/>
  <c r="T45" i="18" s="1"/>
  <c r="Y44" i="18"/>
  <c r="J44" i="18" s="1"/>
  <c r="L44" i="18" s="1"/>
  <c r="X44" i="18"/>
  <c r="W44" i="18"/>
  <c r="U44" i="18"/>
  <c r="Y43" i="18"/>
  <c r="J43" i="18" s="1"/>
  <c r="L43" i="18" s="1"/>
  <c r="X43" i="18"/>
  <c r="W43" i="18"/>
  <c r="U43" i="18"/>
  <c r="G43" i="18"/>
  <c r="Y42" i="18"/>
  <c r="J42" i="18" s="1"/>
  <c r="L42" i="18" s="1"/>
  <c r="X42" i="18"/>
  <c r="W42" i="18"/>
  <c r="R42" i="18"/>
  <c r="T42" i="18" s="1"/>
  <c r="G42" i="18"/>
  <c r="U42" i="18"/>
  <c r="Y41" i="18"/>
  <c r="J41" i="18" s="1"/>
  <c r="L41" i="18" s="1"/>
  <c r="X41" i="18"/>
  <c r="W41" i="18"/>
  <c r="U41" i="18"/>
  <c r="R41" i="18"/>
  <c r="T41" i="18" s="1"/>
  <c r="Y40" i="18"/>
  <c r="J40" i="18" s="1"/>
  <c r="L40" i="18" s="1"/>
  <c r="X40" i="18"/>
  <c r="W40" i="18"/>
  <c r="U40" i="18"/>
  <c r="Y39" i="18"/>
  <c r="J39" i="18" s="1"/>
  <c r="L39" i="18" s="1"/>
  <c r="X39" i="18"/>
  <c r="W39" i="18"/>
  <c r="U39" i="18"/>
  <c r="G39" i="18"/>
  <c r="Y38" i="18"/>
  <c r="J38" i="18" s="1"/>
  <c r="L38" i="18" s="1"/>
  <c r="X38" i="18"/>
  <c r="W38" i="18"/>
  <c r="R38" i="18"/>
  <c r="T38" i="18" s="1"/>
  <c r="G38" i="18"/>
  <c r="U38" i="18"/>
  <c r="Y37" i="18"/>
  <c r="J37" i="18" s="1"/>
  <c r="L37" i="18" s="1"/>
  <c r="X37" i="18"/>
  <c r="W37" i="18"/>
  <c r="U37" i="18"/>
  <c r="R37" i="18"/>
  <c r="T37" i="18" s="1"/>
  <c r="Y36" i="18"/>
  <c r="J36" i="18" s="1"/>
  <c r="L36" i="18" s="1"/>
  <c r="X36" i="18"/>
  <c r="W36" i="18"/>
  <c r="U36" i="18"/>
  <c r="Y35" i="18"/>
  <c r="J35" i="18" s="1"/>
  <c r="L35" i="18" s="1"/>
  <c r="X35" i="18"/>
  <c r="W35" i="18"/>
  <c r="U35" i="18"/>
  <c r="G35" i="18"/>
  <c r="Y34" i="18"/>
  <c r="J34" i="18" s="1"/>
  <c r="L34" i="18" s="1"/>
  <c r="X34" i="18"/>
  <c r="W34" i="18"/>
  <c r="R34" i="18"/>
  <c r="T34" i="18" s="1"/>
  <c r="G34" i="18"/>
  <c r="U34" i="18"/>
  <c r="Y33" i="18"/>
  <c r="J33" i="18" s="1"/>
  <c r="L33" i="18" s="1"/>
  <c r="X33" i="18"/>
  <c r="W33" i="18"/>
  <c r="U33" i="18"/>
  <c r="R33" i="18"/>
  <c r="T33" i="18" s="1"/>
  <c r="Y32" i="18"/>
  <c r="J32" i="18" s="1"/>
  <c r="L32" i="18" s="1"/>
  <c r="X32" i="18"/>
  <c r="W32" i="18"/>
  <c r="U32" i="18"/>
  <c r="Y31" i="18"/>
  <c r="J31" i="18" s="1"/>
  <c r="L31" i="18" s="1"/>
  <c r="X31" i="18"/>
  <c r="W31" i="18"/>
  <c r="U31" i="18"/>
  <c r="G31" i="18"/>
  <c r="Y29" i="18"/>
  <c r="J29" i="18" s="1"/>
  <c r="X29" i="18"/>
  <c r="W29" i="18"/>
  <c r="U29" i="18"/>
  <c r="Y28" i="18"/>
  <c r="J28" i="18" s="1"/>
  <c r="X28" i="18"/>
  <c r="W28" i="18"/>
  <c r="U28" i="18"/>
  <c r="Y27" i="18"/>
  <c r="J27" i="18" s="1"/>
  <c r="X27" i="18"/>
  <c r="W27" i="18"/>
  <c r="U27" i="18"/>
  <c r="J20" i="18"/>
  <c r="X20" i="18"/>
  <c r="W20" i="18"/>
  <c r="U20" i="18"/>
  <c r="J19" i="18"/>
  <c r="X19" i="18"/>
  <c r="W19" i="18"/>
  <c r="U19" i="18"/>
  <c r="U18" i="18"/>
  <c r="Y17" i="18"/>
  <c r="J17" i="18" s="1"/>
  <c r="X17" i="18"/>
  <c r="W17" i="18"/>
  <c r="U17" i="18"/>
  <c r="Y15" i="18"/>
  <c r="J15" i="18" s="1"/>
  <c r="L15" i="18" s="1"/>
  <c r="X15" i="18"/>
  <c r="W15" i="18"/>
  <c r="U15" i="18"/>
  <c r="Y14" i="18"/>
  <c r="J14" i="18" s="1"/>
  <c r="L14" i="18" s="1"/>
  <c r="X14" i="18"/>
  <c r="W14" i="18"/>
  <c r="G14" i="18"/>
  <c r="U14" i="18"/>
  <c r="R14" i="18"/>
  <c r="T14" i="18" s="1"/>
  <c r="Y13" i="18"/>
  <c r="J13" i="18" s="1"/>
  <c r="L13" i="18" s="1"/>
  <c r="X13" i="18"/>
  <c r="W13" i="18"/>
  <c r="U13" i="18"/>
  <c r="R13" i="18"/>
  <c r="T13" i="18" s="1"/>
  <c r="Y12" i="18"/>
  <c r="J12" i="18" s="1"/>
  <c r="L12" i="18" s="1"/>
  <c r="X12" i="18"/>
  <c r="W12" i="18"/>
  <c r="R12" i="18"/>
  <c r="U5" i="18"/>
  <c r="U4" i="18"/>
  <c r="L48" i="17"/>
  <c r="D48" i="17"/>
  <c r="G48" i="17" s="1"/>
  <c r="L47" i="17"/>
  <c r="G47" i="17"/>
  <c r="D47" i="17"/>
  <c r="S46" i="17"/>
  <c r="K46" i="17"/>
  <c r="K49" i="17" s="1"/>
  <c r="Y45" i="17"/>
  <c r="J45" i="17" s="1"/>
  <c r="L45" i="17" s="1"/>
  <c r="X45" i="17"/>
  <c r="W45" i="17"/>
  <c r="R45" i="17"/>
  <c r="T45" i="17" s="1"/>
  <c r="G45" i="17"/>
  <c r="U45" i="17"/>
  <c r="Y44" i="17"/>
  <c r="J44" i="17" s="1"/>
  <c r="L44" i="17" s="1"/>
  <c r="X44" i="17"/>
  <c r="W44" i="17"/>
  <c r="U44" i="17"/>
  <c r="R44" i="17"/>
  <c r="T44" i="17" s="1"/>
  <c r="Y43" i="17"/>
  <c r="J43" i="17" s="1"/>
  <c r="L43" i="17" s="1"/>
  <c r="X43" i="17"/>
  <c r="W43" i="17"/>
  <c r="R43" i="17"/>
  <c r="T43" i="17" s="1"/>
  <c r="G43" i="17"/>
  <c r="U43" i="17"/>
  <c r="Y42" i="17"/>
  <c r="J42" i="17" s="1"/>
  <c r="L42" i="17" s="1"/>
  <c r="X42" i="17"/>
  <c r="W42" i="17"/>
  <c r="U42" i="17"/>
  <c r="Y41" i="17"/>
  <c r="J41" i="17" s="1"/>
  <c r="L41" i="17" s="1"/>
  <c r="X41" i="17"/>
  <c r="W41" i="17"/>
  <c r="R41" i="17"/>
  <c r="T41" i="17" s="1"/>
  <c r="G41" i="17"/>
  <c r="U41" i="17"/>
  <c r="Y40" i="17"/>
  <c r="J40" i="17" s="1"/>
  <c r="L40" i="17" s="1"/>
  <c r="X40" i="17"/>
  <c r="W40" i="17"/>
  <c r="U40" i="17"/>
  <c r="R40" i="17"/>
  <c r="T40" i="17" s="1"/>
  <c r="Y39" i="17"/>
  <c r="J39" i="17" s="1"/>
  <c r="L39" i="17" s="1"/>
  <c r="X39" i="17"/>
  <c r="W39" i="17"/>
  <c r="R39" i="17"/>
  <c r="T39" i="17" s="1"/>
  <c r="G39" i="17"/>
  <c r="U39" i="17"/>
  <c r="Y38" i="17"/>
  <c r="J38" i="17" s="1"/>
  <c r="L38" i="17" s="1"/>
  <c r="X38" i="17"/>
  <c r="W38" i="17"/>
  <c r="U38" i="17"/>
  <c r="Y37" i="17"/>
  <c r="J37" i="17" s="1"/>
  <c r="L37" i="17" s="1"/>
  <c r="X37" i="17"/>
  <c r="W37" i="17"/>
  <c r="R37" i="17"/>
  <c r="T37" i="17" s="1"/>
  <c r="G37" i="17"/>
  <c r="U37" i="17"/>
  <c r="Y36" i="17"/>
  <c r="J36" i="17" s="1"/>
  <c r="L36" i="17" s="1"/>
  <c r="X36" i="17"/>
  <c r="W36" i="17"/>
  <c r="U36" i="17"/>
  <c r="R36" i="17"/>
  <c r="T36" i="17" s="1"/>
  <c r="Y35" i="17"/>
  <c r="J35" i="17" s="1"/>
  <c r="L35" i="17" s="1"/>
  <c r="X35" i="17"/>
  <c r="W35" i="17"/>
  <c r="R35" i="17"/>
  <c r="T35" i="17" s="1"/>
  <c r="G35" i="17"/>
  <c r="U35" i="17"/>
  <c r="Y34" i="17"/>
  <c r="J34" i="17" s="1"/>
  <c r="L34" i="17" s="1"/>
  <c r="X34" i="17"/>
  <c r="W34" i="17"/>
  <c r="U34" i="17"/>
  <c r="Y33" i="17"/>
  <c r="J33" i="17" s="1"/>
  <c r="L33" i="17" s="1"/>
  <c r="X33" i="17"/>
  <c r="W33" i="17"/>
  <c r="R33" i="17"/>
  <c r="T33" i="17" s="1"/>
  <c r="G33" i="17"/>
  <c r="U33" i="17"/>
  <c r="Y32" i="17"/>
  <c r="J32" i="17" s="1"/>
  <c r="L32" i="17" s="1"/>
  <c r="X32" i="17"/>
  <c r="W32" i="17"/>
  <c r="U32" i="17"/>
  <c r="R32" i="17"/>
  <c r="T32" i="17" s="1"/>
  <c r="Y31" i="17"/>
  <c r="J31" i="17" s="1"/>
  <c r="L31" i="17" s="1"/>
  <c r="X31" i="17"/>
  <c r="W31" i="17"/>
  <c r="R31" i="17"/>
  <c r="T31" i="17" s="1"/>
  <c r="G31" i="17"/>
  <c r="U31" i="17"/>
  <c r="Y29" i="17"/>
  <c r="J29" i="17" s="1"/>
  <c r="X29" i="17"/>
  <c r="W29" i="17"/>
  <c r="U29" i="17"/>
  <c r="Y28" i="17"/>
  <c r="J28" i="17" s="1"/>
  <c r="X28" i="17"/>
  <c r="W28" i="17"/>
  <c r="U28" i="17"/>
  <c r="Y27" i="17"/>
  <c r="J27" i="17" s="1"/>
  <c r="X27" i="17"/>
  <c r="W27" i="17"/>
  <c r="U27" i="17"/>
  <c r="X25" i="17"/>
  <c r="W25" i="17"/>
  <c r="Y20" i="17"/>
  <c r="X20" i="17"/>
  <c r="W20" i="17"/>
  <c r="U20" i="17"/>
  <c r="Y19" i="17"/>
  <c r="J19" i="17" s="1"/>
  <c r="X19" i="17"/>
  <c r="W19" i="17"/>
  <c r="U19" i="17"/>
  <c r="Y18" i="17"/>
  <c r="J18" i="17" s="1"/>
  <c r="X18" i="17"/>
  <c r="W18" i="17"/>
  <c r="U18" i="17"/>
  <c r="Y17" i="17"/>
  <c r="J17" i="17" s="1"/>
  <c r="X17" i="17"/>
  <c r="W17" i="17"/>
  <c r="U17" i="17"/>
  <c r="Y15" i="17"/>
  <c r="J15" i="17" s="1"/>
  <c r="L15" i="17" s="1"/>
  <c r="X15" i="17"/>
  <c r="W15" i="17"/>
  <c r="U15" i="17"/>
  <c r="Y14" i="17"/>
  <c r="J14" i="17" s="1"/>
  <c r="L14" i="17" s="1"/>
  <c r="X14" i="17"/>
  <c r="W14" i="17"/>
  <c r="R14" i="17"/>
  <c r="T14" i="17" s="1"/>
  <c r="G14" i="17"/>
  <c r="U14" i="17"/>
  <c r="Y13" i="17"/>
  <c r="J13" i="17" s="1"/>
  <c r="X13" i="17"/>
  <c r="W13" i="17"/>
  <c r="U13" i="17"/>
  <c r="R13" i="17"/>
  <c r="T13" i="17" s="1"/>
  <c r="Y12" i="17"/>
  <c r="J12" i="17" s="1"/>
  <c r="L12" i="17" s="1"/>
  <c r="X12" i="17"/>
  <c r="W12" i="17"/>
  <c r="R12" i="17"/>
  <c r="U12" i="17"/>
  <c r="U5" i="17"/>
  <c r="U4" i="17"/>
  <c r="L49" i="16"/>
  <c r="L48" i="16"/>
  <c r="S47" i="16"/>
  <c r="K47" i="16"/>
  <c r="K50" i="16" s="1"/>
  <c r="W46" i="16"/>
  <c r="X46" i="16"/>
  <c r="U46" i="16"/>
  <c r="U45" i="16"/>
  <c r="X45" i="16"/>
  <c r="W44" i="16"/>
  <c r="X43" i="16"/>
  <c r="W43" i="16"/>
  <c r="U43" i="16"/>
  <c r="W42" i="16"/>
  <c r="X42" i="16"/>
  <c r="U42" i="16"/>
  <c r="U41" i="16"/>
  <c r="U40" i="16"/>
  <c r="W40" i="16"/>
  <c r="X39" i="16"/>
  <c r="U39" i="16"/>
  <c r="W39" i="16"/>
  <c r="W38" i="16"/>
  <c r="X38" i="16" s="1"/>
  <c r="X37" i="16"/>
  <c r="W37" i="16"/>
  <c r="W36" i="16"/>
  <c r="X36" i="16" s="1"/>
  <c r="W35" i="16"/>
  <c r="X35" i="16" s="1"/>
  <c r="W34" i="16"/>
  <c r="X34" i="16" s="1"/>
  <c r="W32" i="16"/>
  <c r="X32" i="16" s="1"/>
  <c r="X31" i="16"/>
  <c r="W31" i="16"/>
  <c r="U31" i="16"/>
  <c r="X29" i="16"/>
  <c r="W29" i="16"/>
  <c r="X28" i="16"/>
  <c r="W28" i="16"/>
  <c r="X27" i="16"/>
  <c r="W27" i="16"/>
  <c r="W26" i="16"/>
  <c r="X26" i="16" s="1"/>
  <c r="H26" i="18"/>
  <c r="W25" i="16"/>
  <c r="X25" i="16" s="1"/>
  <c r="H25" i="18"/>
  <c r="W24" i="16"/>
  <c r="X24" i="16" s="1"/>
  <c r="W23" i="16"/>
  <c r="X23" i="16" s="1"/>
  <c r="W22" i="16"/>
  <c r="X22" i="16" s="1"/>
  <c r="W21" i="16"/>
  <c r="X21" i="16" s="1"/>
  <c r="X20" i="16"/>
  <c r="W20" i="16"/>
  <c r="X19" i="16"/>
  <c r="W19" i="16"/>
  <c r="W18" i="16"/>
  <c r="X18" i="16" s="1"/>
  <c r="X17" i="16"/>
  <c r="W17" i="16"/>
  <c r="X15" i="16"/>
  <c r="W15" i="16"/>
  <c r="U15" i="16"/>
  <c r="W14" i="16"/>
  <c r="X14" i="16" s="1"/>
  <c r="X13" i="16"/>
  <c r="W13" i="16"/>
  <c r="U13" i="16"/>
  <c r="X12" i="16"/>
  <c r="W12" i="16"/>
  <c r="T5" i="16"/>
  <c r="T4" i="16"/>
  <c r="V44" i="17" l="1"/>
  <c r="V37" i="18"/>
  <c r="V31" i="17"/>
  <c r="V33" i="18"/>
  <c r="V35" i="17"/>
  <c r="M45" i="17"/>
  <c r="M31" i="18"/>
  <c r="M14" i="17"/>
  <c r="Y19" i="16"/>
  <c r="J19" i="16" s="1"/>
  <c r="V39" i="17"/>
  <c r="M14" i="18"/>
  <c r="M39" i="18"/>
  <c r="Y29" i="16"/>
  <c r="J29" i="16" s="1"/>
  <c r="M35" i="18"/>
  <c r="V41" i="18"/>
  <c r="Y20" i="16"/>
  <c r="J20" i="16" s="1"/>
  <c r="Y27" i="16"/>
  <c r="J27" i="16" s="1"/>
  <c r="Y28" i="16"/>
  <c r="J28" i="16" s="1"/>
  <c r="J20" i="17"/>
  <c r="Y17" i="16"/>
  <c r="J17" i="16" s="1"/>
  <c r="V13" i="18"/>
  <c r="M43" i="18"/>
  <c r="M37" i="17"/>
  <c r="V40" i="17"/>
  <c r="V45" i="18"/>
  <c r="V37" i="17"/>
  <c r="V41" i="17"/>
  <c r="M34" i="18"/>
  <c r="M41" i="17"/>
  <c r="V14" i="17"/>
  <c r="M31" i="17"/>
  <c r="M35" i="17"/>
  <c r="M39" i="17"/>
  <c r="V43" i="17"/>
  <c r="V42" i="18"/>
  <c r="M33" i="17"/>
  <c r="V14" i="18"/>
  <c r="V34" i="18"/>
  <c r="T12" i="18"/>
  <c r="L13" i="17"/>
  <c r="H26" i="17"/>
  <c r="G34" i="17"/>
  <c r="M34" i="17" s="1"/>
  <c r="R34" i="17"/>
  <c r="T34" i="17" s="1"/>
  <c r="V34" i="17" s="1"/>
  <c r="M43" i="17"/>
  <c r="V38" i="18"/>
  <c r="T12" i="17"/>
  <c r="V36" i="17"/>
  <c r="R44" i="18"/>
  <c r="T44" i="18" s="1"/>
  <c r="V44" i="18" s="1"/>
  <c r="G44" i="18"/>
  <c r="M44" i="18" s="1"/>
  <c r="X41" i="16"/>
  <c r="W41" i="16"/>
  <c r="G38" i="17"/>
  <c r="M38" i="17" s="1"/>
  <c r="R38" i="17"/>
  <c r="T38" i="17" s="1"/>
  <c r="V38" i="17" s="1"/>
  <c r="R40" i="18"/>
  <c r="T40" i="18" s="1"/>
  <c r="V40" i="18" s="1"/>
  <c r="G40" i="18"/>
  <c r="M40" i="18" s="1"/>
  <c r="F46" i="17"/>
  <c r="F49" i="17" s="1"/>
  <c r="V13" i="17"/>
  <c r="V33" i="17"/>
  <c r="R36" i="18"/>
  <c r="T36" i="18" s="1"/>
  <c r="V36" i="18" s="1"/>
  <c r="G36" i="18"/>
  <c r="M36" i="18" s="1"/>
  <c r="G15" i="17"/>
  <c r="M15" i="17" s="1"/>
  <c r="R15" i="17"/>
  <c r="T15" i="17" s="1"/>
  <c r="V15" i="17" s="1"/>
  <c r="U12" i="16"/>
  <c r="X40" i="16"/>
  <c r="G12" i="17"/>
  <c r="V45" i="17"/>
  <c r="F46" i="18"/>
  <c r="F49" i="18" s="1"/>
  <c r="G15" i="18"/>
  <c r="M15" i="18" s="1"/>
  <c r="R15" i="18"/>
  <c r="T15" i="18" s="1"/>
  <c r="V15" i="18" s="1"/>
  <c r="R32" i="18"/>
  <c r="T32" i="18" s="1"/>
  <c r="V32" i="18" s="1"/>
  <c r="G32" i="18"/>
  <c r="M32" i="18" s="1"/>
  <c r="M42" i="18"/>
  <c r="F47" i="16"/>
  <c r="H21" i="18"/>
  <c r="H21" i="17"/>
  <c r="H22" i="18"/>
  <c r="H22" i="17"/>
  <c r="H23" i="18"/>
  <c r="H23" i="17"/>
  <c r="H24" i="18"/>
  <c r="H24" i="17"/>
  <c r="W25" i="18"/>
  <c r="X25" i="18" s="1"/>
  <c r="W26" i="18"/>
  <c r="X26" i="18" s="1"/>
  <c r="V32" i="17"/>
  <c r="G42" i="17"/>
  <c r="M42" i="17" s="1"/>
  <c r="R42" i="17"/>
  <c r="T42" i="17" s="1"/>
  <c r="V42" i="17" s="1"/>
  <c r="M38" i="18"/>
  <c r="W45" i="16"/>
  <c r="R31" i="18"/>
  <c r="T31" i="18" s="1"/>
  <c r="V31" i="18" s="1"/>
  <c r="G33" i="18"/>
  <c r="M33" i="18" s="1"/>
  <c r="R35" i="18"/>
  <c r="T35" i="18" s="1"/>
  <c r="V35" i="18" s="1"/>
  <c r="G37" i="18"/>
  <c r="M37" i="18" s="1"/>
  <c r="R39" i="18"/>
  <c r="T39" i="18" s="1"/>
  <c r="V39" i="18" s="1"/>
  <c r="G41" i="18"/>
  <c r="M41" i="18" s="1"/>
  <c r="R43" i="18"/>
  <c r="T43" i="18" s="1"/>
  <c r="V43" i="18" s="1"/>
  <c r="G45" i="18"/>
  <c r="M45" i="18" s="1"/>
  <c r="G13" i="17"/>
  <c r="G32" i="17"/>
  <c r="M32" i="17" s="1"/>
  <c r="G36" i="17"/>
  <c r="M36" i="17" s="1"/>
  <c r="G40" i="17"/>
  <c r="M40" i="17" s="1"/>
  <c r="G44" i="17"/>
  <c r="M44" i="17" s="1"/>
  <c r="U12" i="18"/>
  <c r="G13" i="18"/>
  <c r="M13" i="18" s="1"/>
  <c r="G12" i="18"/>
  <c r="M12" i="17" l="1"/>
  <c r="W22" i="17"/>
  <c r="X22" i="17" s="1"/>
  <c r="W22" i="18"/>
  <c r="X22" i="18" s="1"/>
  <c r="W21" i="17"/>
  <c r="X21" i="17" s="1"/>
  <c r="W24" i="17"/>
  <c r="X24" i="17" s="1"/>
  <c r="V12" i="18"/>
  <c r="M12" i="18"/>
  <c r="W24" i="18"/>
  <c r="X24" i="18" s="1"/>
  <c r="V12" i="17"/>
  <c r="W26" i="17"/>
  <c r="X26" i="17" s="1"/>
  <c r="W21" i="18"/>
  <c r="X21" i="18" s="1"/>
  <c r="W23" i="17"/>
  <c r="X23" i="17" s="1"/>
  <c r="M13" i="17"/>
  <c r="W23" i="18"/>
  <c r="X23" i="18" s="1"/>
  <c r="V107" i="12"/>
  <c r="V105" i="12"/>
  <c r="V106" i="12"/>
  <c r="W108" i="12"/>
  <c r="V108" i="12"/>
  <c r="J116" i="12"/>
  <c r="K100" i="12" s="1"/>
  <c r="K116" i="12" s="1"/>
  <c r="L100" i="12" s="1"/>
  <c r="L116" i="12" l="1"/>
  <c r="M100" i="12" s="1"/>
  <c r="M116" i="12" l="1"/>
  <c r="N100" i="12" s="1"/>
  <c r="U18" i="15"/>
  <c r="U19" i="15"/>
  <c r="U20" i="15"/>
  <c r="U28" i="15"/>
  <c r="U29" i="15"/>
  <c r="U17" i="15"/>
  <c r="U18" i="14"/>
  <c r="U19" i="14"/>
  <c r="U21" i="14"/>
  <c r="U22" i="14"/>
  <c r="U23" i="14"/>
  <c r="U27" i="14"/>
  <c r="U28" i="14"/>
  <c r="U17" i="14"/>
  <c r="U20" i="14"/>
  <c r="L49" i="13"/>
  <c r="X37" i="13"/>
  <c r="W38" i="13"/>
  <c r="W39" i="13"/>
  <c r="W40" i="13"/>
  <c r="X42" i="13"/>
  <c r="W43" i="13"/>
  <c r="X44" i="13"/>
  <c r="X45" i="13"/>
  <c r="W46" i="13"/>
  <c r="X18" i="13"/>
  <c r="X19" i="13"/>
  <c r="W20" i="13"/>
  <c r="W21" i="13"/>
  <c r="W22" i="13"/>
  <c r="W24" i="13"/>
  <c r="W25" i="13"/>
  <c r="W26" i="13"/>
  <c r="X27" i="13"/>
  <c r="X29" i="13"/>
  <c r="X31" i="13"/>
  <c r="W17" i="13"/>
  <c r="W13" i="13"/>
  <c r="W14" i="13"/>
  <c r="X15" i="13"/>
  <c r="W12" i="13"/>
  <c r="U31" i="13"/>
  <c r="U35" i="13"/>
  <c r="U37" i="13"/>
  <c r="U38" i="13"/>
  <c r="U39" i="13"/>
  <c r="U40" i="13"/>
  <c r="U41" i="13"/>
  <c r="U43" i="13"/>
  <c r="U44" i="13"/>
  <c r="U45" i="13"/>
  <c r="U46" i="13"/>
  <c r="U12" i="13"/>
  <c r="U13" i="13"/>
  <c r="U15" i="13"/>
  <c r="L48" i="15"/>
  <c r="L47" i="15"/>
  <c r="S46" i="15"/>
  <c r="K46" i="15"/>
  <c r="K49" i="15" s="1"/>
  <c r="Y45" i="15"/>
  <c r="J45" i="15" s="1"/>
  <c r="L45" i="15" s="1"/>
  <c r="X45" i="15"/>
  <c r="W45" i="15"/>
  <c r="U45" i="15"/>
  <c r="R45" i="15"/>
  <c r="T45" i="15" s="1"/>
  <c r="Y44" i="15"/>
  <c r="J44" i="15" s="1"/>
  <c r="L44" i="15" s="1"/>
  <c r="X44" i="15"/>
  <c r="W44" i="15"/>
  <c r="U44" i="15"/>
  <c r="R44" i="15"/>
  <c r="T44" i="15" s="1"/>
  <c r="Y43" i="15"/>
  <c r="J43" i="15" s="1"/>
  <c r="L43" i="15" s="1"/>
  <c r="X43" i="15"/>
  <c r="W43" i="15"/>
  <c r="U43" i="15"/>
  <c r="Y42" i="15"/>
  <c r="J42" i="15" s="1"/>
  <c r="L42" i="15" s="1"/>
  <c r="X42" i="15"/>
  <c r="W42" i="15"/>
  <c r="U42" i="15"/>
  <c r="Y41" i="15"/>
  <c r="J41" i="15" s="1"/>
  <c r="L41" i="15" s="1"/>
  <c r="X41" i="15"/>
  <c r="W41" i="15"/>
  <c r="U41" i="15"/>
  <c r="R41" i="15"/>
  <c r="T41" i="15" s="1"/>
  <c r="Y40" i="15"/>
  <c r="J40" i="15" s="1"/>
  <c r="L40" i="15" s="1"/>
  <c r="X40" i="15"/>
  <c r="W40" i="15"/>
  <c r="U40" i="15"/>
  <c r="R40" i="15"/>
  <c r="T40" i="15" s="1"/>
  <c r="Y39" i="15"/>
  <c r="J39" i="15" s="1"/>
  <c r="L39" i="15" s="1"/>
  <c r="X39" i="15"/>
  <c r="W39" i="15"/>
  <c r="U39" i="15"/>
  <c r="Y38" i="15"/>
  <c r="J38" i="15" s="1"/>
  <c r="L38" i="15" s="1"/>
  <c r="X38" i="15"/>
  <c r="W38" i="15"/>
  <c r="U38" i="15"/>
  <c r="Y37" i="15"/>
  <c r="J37" i="15" s="1"/>
  <c r="L37" i="15" s="1"/>
  <c r="X37" i="15"/>
  <c r="W37" i="15"/>
  <c r="U37" i="15"/>
  <c r="R37" i="15"/>
  <c r="T37" i="15" s="1"/>
  <c r="Y36" i="15"/>
  <c r="J36" i="15" s="1"/>
  <c r="L36" i="15" s="1"/>
  <c r="X36" i="15"/>
  <c r="W36" i="15"/>
  <c r="U36" i="15"/>
  <c r="R36" i="15"/>
  <c r="T36" i="15" s="1"/>
  <c r="Y35" i="15"/>
  <c r="J35" i="15" s="1"/>
  <c r="L35" i="15" s="1"/>
  <c r="X35" i="15"/>
  <c r="W35" i="15"/>
  <c r="U35" i="15"/>
  <c r="Y34" i="15"/>
  <c r="J34" i="15" s="1"/>
  <c r="L34" i="15" s="1"/>
  <c r="X34" i="15"/>
  <c r="W34" i="15"/>
  <c r="U34" i="15"/>
  <c r="Y33" i="15"/>
  <c r="J33" i="15" s="1"/>
  <c r="L33" i="15" s="1"/>
  <c r="X33" i="15"/>
  <c r="W33" i="15"/>
  <c r="U33" i="15"/>
  <c r="R33" i="15"/>
  <c r="T33" i="15" s="1"/>
  <c r="Y32" i="15"/>
  <c r="J32" i="15" s="1"/>
  <c r="L32" i="15" s="1"/>
  <c r="X32" i="15"/>
  <c r="W32" i="15"/>
  <c r="U32" i="15"/>
  <c r="R32" i="15"/>
  <c r="T32" i="15" s="1"/>
  <c r="Y31" i="15"/>
  <c r="J31" i="15" s="1"/>
  <c r="L31" i="15" s="1"/>
  <c r="X31" i="15"/>
  <c r="W31" i="15"/>
  <c r="U31" i="15"/>
  <c r="Y29" i="15"/>
  <c r="J29" i="15" s="1"/>
  <c r="X29" i="15"/>
  <c r="W29" i="15"/>
  <c r="Y28" i="15"/>
  <c r="J28" i="15" s="1"/>
  <c r="X28" i="15"/>
  <c r="W28" i="15"/>
  <c r="Y27" i="15"/>
  <c r="J27" i="15" s="1"/>
  <c r="X27" i="15"/>
  <c r="W27" i="15"/>
  <c r="U27" i="15"/>
  <c r="Y20" i="15"/>
  <c r="J20" i="15" s="1"/>
  <c r="X20" i="15"/>
  <c r="W20" i="15"/>
  <c r="Y19" i="15"/>
  <c r="J19" i="15" s="1"/>
  <c r="X19" i="15"/>
  <c r="W19" i="15"/>
  <c r="Y18" i="15"/>
  <c r="J18" i="15" s="1"/>
  <c r="X18" i="15"/>
  <c r="W18" i="15"/>
  <c r="Y17" i="15"/>
  <c r="J17" i="15" s="1"/>
  <c r="X17" i="15"/>
  <c r="W17" i="15"/>
  <c r="Y15" i="15"/>
  <c r="J15" i="15" s="1"/>
  <c r="L15" i="15" s="1"/>
  <c r="X15" i="15"/>
  <c r="W15" i="15"/>
  <c r="U15" i="15"/>
  <c r="R15" i="15"/>
  <c r="T15" i="15" s="1"/>
  <c r="Y14" i="15"/>
  <c r="J14" i="15" s="1"/>
  <c r="L14" i="15" s="1"/>
  <c r="X14" i="15"/>
  <c r="W14" i="15"/>
  <c r="U14" i="15"/>
  <c r="Y13" i="15"/>
  <c r="J13" i="15" s="1"/>
  <c r="L13" i="15" s="1"/>
  <c r="X13" i="15"/>
  <c r="W13" i="15"/>
  <c r="U13" i="15"/>
  <c r="Y12" i="15"/>
  <c r="J12" i="15" s="1"/>
  <c r="X12" i="15"/>
  <c r="W12" i="15"/>
  <c r="U12" i="15"/>
  <c r="R12" i="15"/>
  <c r="T12" i="15" s="1"/>
  <c r="U5" i="15"/>
  <c r="U4" i="15"/>
  <c r="L48" i="14"/>
  <c r="L47" i="14"/>
  <c r="S46" i="14"/>
  <c r="K46" i="14"/>
  <c r="K49" i="14" s="1"/>
  <c r="Y45" i="14"/>
  <c r="J45" i="14" s="1"/>
  <c r="L45" i="14" s="1"/>
  <c r="X45" i="14"/>
  <c r="W45" i="14"/>
  <c r="U45" i="14"/>
  <c r="R45" i="14"/>
  <c r="T45" i="14" s="1"/>
  <c r="Y44" i="14"/>
  <c r="J44" i="14" s="1"/>
  <c r="L44" i="14" s="1"/>
  <c r="X44" i="14"/>
  <c r="W44" i="14"/>
  <c r="U44" i="14"/>
  <c r="Y43" i="14"/>
  <c r="J43" i="14" s="1"/>
  <c r="L43" i="14" s="1"/>
  <c r="X43" i="14"/>
  <c r="W43" i="14"/>
  <c r="U43" i="14"/>
  <c r="Y42" i="14"/>
  <c r="J42" i="14" s="1"/>
  <c r="L42" i="14" s="1"/>
  <c r="X42" i="14"/>
  <c r="W42" i="14"/>
  <c r="U42" i="14"/>
  <c r="R42" i="14"/>
  <c r="T42" i="14" s="1"/>
  <c r="Y41" i="14"/>
  <c r="J41" i="14" s="1"/>
  <c r="L41" i="14" s="1"/>
  <c r="X41" i="14"/>
  <c r="W41" i="14"/>
  <c r="U41" i="14"/>
  <c r="R41" i="14"/>
  <c r="T41" i="14" s="1"/>
  <c r="Y40" i="14"/>
  <c r="J40" i="14" s="1"/>
  <c r="L40" i="14" s="1"/>
  <c r="X40" i="14"/>
  <c r="W40" i="14"/>
  <c r="U40" i="14"/>
  <c r="Y39" i="14"/>
  <c r="J39" i="14" s="1"/>
  <c r="L39" i="14" s="1"/>
  <c r="X39" i="14"/>
  <c r="W39" i="14"/>
  <c r="U39" i="14"/>
  <c r="Y38" i="14"/>
  <c r="J38" i="14" s="1"/>
  <c r="L38" i="14" s="1"/>
  <c r="X38" i="14"/>
  <c r="W38" i="14"/>
  <c r="U38" i="14"/>
  <c r="R38" i="14"/>
  <c r="T38" i="14" s="1"/>
  <c r="Y37" i="14"/>
  <c r="J37" i="14" s="1"/>
  <c r="L37" i="14" s="1"/>
  <c r="X37" i="14"/>
  <c r="W37" i="14"/>
  <c r="U37" i="14"/>
  <c r="R37" i="14"/>
  <c r="T37" i="14" s="1"/>
  <c r="Y36" i="14"/>
  <c r="J36" i="14" s="1"/>
  <c r="L36" i="14" s="1"/>
  <c r="X36" i="14"/>
  <c r="W36" i="14"/>
  <c r="U36" i="14"/>
  <c r="Y35" i="14"/>
  <c r="J35" i="14" s="1"/>
  <c r="L35" i="14" s="1"/>
  <c r="X35" i="14"/>
  <c r="W35" i="14"/>
  <c r="U35" i="14"/>
  <c r="Y34" i="14"/>
  <c r="J34" i="14" s="1"/>
  <c r="L34" i="14" s="1"/>
  <c r="X34" i="14"/>
  <c r="W34" i="14"/>
  <c r="U34" i="14"/>
  <c r="R34" i="14"/>
  <c r="T34" i="14" s="1"/>
  <c r="Y33" i="14"/>
  <c r="J33" i="14" s="1"/>
  <c r="L33" i="14" s="1"/>
  <c r="X33" i="14"/>
  <c r="W33" i="14"/>
  <c r="U33" i="14"/>
  <c r="R33" i="14"/>
  <c r="T33" i="14" s="1"/>
  <c r="Y32" i="14"/>
  <c r="J32" i="14" s="1"/>
  <c r="L32" i="14" s="1"/>
  <c r="X32" i="14"/>
  <c r="W32" i="14"/>
  <c r="U32" i="14"/>
  <c r="Y31" i="14"/>
  <c r="J31" i="14" s="1"/>
  <c r="L31" i="14" s="1"/>
  <c r="X31" i="14"/>
  <c r="W31" i="14"/>
  <c r="U31" i="14"/>
  <c r="Y29" i="14"/>
  <c r="J29" i="14" s="1"/>
  <c r="X29" i="14"/>
  <c r="W29" i="14"/>
  <c r="U29" i="14"/>
  <c r="Y28" i="14"/>
  <c r="J28" i="14" s="1"/>
  <c r="X28" i="14"/>
  <c r="W28" i="14"/>
  <c r="Y27" i="14"/>
  <c r="X27" i="14"/>
  <c r="W27" i="14"/>
  <c r="X25" i="14"/>
  <c r="W25" i="14"/>
  <c r="Y20" i="14"/>
  <c r="X20" i="14"/>
  <c r="W20" i="14"/>
  <c r="Y19" i="14"/>
  <c r="X19" i="14"/>
  <c r="W19" i="14"/>
  <c r="Y18" i="14"/>
  <c r="J18" i="14" s="1"/>
  <c r="X18" i="14"/>
  <c r="W18" i="14"/>
  <c r="Y17" i="14"/>
  <c r="J17" i="14" s="1"/>
  <c r="X17" i="14"/>
  <c r="W17" i="14"/>
  <c r="Y15" i="14"/>
  <c r="J15" i="14" s="1"/>
  <c r="L15" i="14" s="1"/>
  <c r="X15" i="14"/>
  <c r="W15" i="14"/>
  <c r="U15" i="14"/>
  <c r="R15" i="14"/>
  <c r="T15" i="14" s="1"/>
  <c r="Y14" i="14"/>
  <c r="J14" i="14" s="1"/>
  <c r="L14" i="14" s="1"/>
  <c r="X14" i="14"/>
  <c r="W14" i="14"/>
  <c r="U14" i="14"/>
  <c r="Y13" i="14"/>
  <c r="J13" i="14" s="1"/>
  <c r="L13" i="14" s="1"/>
  <c r="X13" i="14"/>
  <c r="W13" i="14"/>
  <c r="U13" i="14"/>
  <c r="R13" i="14"/>
  <c r="T13" i="14" s="1"/>
  <c r="Y12" i="14"/>
  <c r="X12" i="14"/>
  <c r="W12" i="14"/>
  <c r="U12" i="14"/>
  <c r="U5" i="14"/>
  <c r="U4" i="14"/>
  <c r="S47" i="13"/>
  <c r="U42" i="13"/>
  <c r="W41" i="13"/>
  <c r="X41" i="13"/>
  <c r="X35" i="13"/>
  <c r="X28" i="13"/>
  <c r="X20" i="13"/>
  <c r="T5" i="13"/>
  <c r="T4" i="13"/>
  <c r="Y19" i="13" l="1"/>
  <c r="J19" i="13" s="1"/>
  <c r="W19" i="13"/>
  <c r="X43" i="13"/>
  <c r="W15" i="13"/>
  <c r="V13" i="14"/>
  <c r="V33" i="14"/>
  <c r="V45" i="14"/>
  <c r="X17" i="13"/>
  <c r="X39" i="13"/>
  <c r="X40" i="13"/>
  <c r="V41" i="14"/>
  <c r="V15" i="14"/>
  <c r="G45" i="15"/>
  <c r="M45" i="15" s="1"/>
  <c r="X14" i="13"/>
  <c r="N116" i="12"/>
  <c r="X38" i="13"/>
  <c r="G42" i="14"/>
  <c r="M42" i="14" s="1"/>
  <c r="X13" i="13"/>
  <c r="W45" i="13"/>
  <c r="G13" i="14"/>
  <c r="M13" i="14" s="1"/>
  <c r="Y20" i="13"/>
  <c r="J20" i="13" s="1"/>
  <c r="V36" i="15"/>
  <c r="G37" i="15"/>
  <c r="M37" i="15" s="1"/>
  <c r="X46" i="13"/>
  <c r="G34" i="14"/>
  <c r="M34" i="14" s="1"/>
  <c r="G13" i="15"/>
  <c r="M13" i="15" s="1"/>
  <c r="V44" i="15"/>
  <c r="Y27" i="13"/>
  <c r="J27" i="13" s="1"/>
  <c r="J20" i="14"/>
  <c r="G31" i="14"/>
  <c r="M31" i="14" s="1"/>
  <c r="G39" i="14"/>
  <c r="M39" i="14" s="1"/>
  <c r="G34" i="15"/>
  <c r="M34" i="15" s="1"/>
  <c r="G42" i="15"/>
  <c r="M42" i="15" s="1"/>
  <c r="V37" i="14"/>
  <c r="G12" i="15"/>
  <c r="V32" i="15"/>
  <c r="V40" i="15"/>
  <c r="W42" i="13"/>
  <c r="G38" i="14"/>
  <c r="M38" i="14" s="1"/>
  <c r="G33" i="15"/>
  <c r="M33" i="15" s="1"/>
  <c r="G41" i="15"/>
  <c r="M41" i="15" s="1"/>
  <c r="G15" i="14"/>
  <c r="M15" i="14" s="1"/>
  <c r="G35" i="14"/>
  <c r="M35" i="14" s="1"/>
  <c r="G43" i="14"/>
  <c r="M43" i="14" s="1"/>
  <c r="V15" i="15"/>
  <c r="G38" i="15"/>
  <c r="M38" i="15" s="1"/>
  <c r="Y29" i="13"/>
  <c r="J29" i="13" s="1"/>
  <c r="F46" i="15"/>
  <c r="F49" i="15" s="1"/>
  <c r="J19" i="14"/>
  <c r="Y28" i="13"/>
  <c r="J28" i="13" s="1"/>
  <c r="J27" i="14"/>
  <c r="Y17" i="13"/>
  <c r="J17" i="13" s="1"/>
  <c r="Y18" i="13"/>
  <c r="J18" i="13" s="1"/>
  <c r="K47" i="13"/>
  <c r="K50" i="13" s="1"/>
  <c r="L48" i="13"/>
  <c r="X12" i="13"/>
  <c r="H23" i="15"/>
  <c r="H23" i="14"/>
  <c r="R36" i="14"/>
  <c r="T36" i="14" s="1"/>
  <c r="V36" i="14" s="1"/>
  <c r="G36" i="14"/>
  <c r="M36" i="14" s="1"/>
  <c r="W23" i="13"/>
  <c r="X23" i="13" s="1"/>
  <c r="W27" i="13"/>
  <c r="W28" i="13"/>
  <c r="H22" i="15"/>
  <c r="H22" i="14"/>
  <c r="X22" i="13"/>
  <c r="W29" i="13"/>
  <c r="H24" i="15"/>
  <c r="H24" i="14"/>
  <c r="X24" i="13"/>
  <c r="W18" i="13"/>
  <c r="W31" i="13"/>
  <c r="W32" i="13"/>
  <c r="X32" i="13" s="1"/>
  <c r="W34" i="13"/>
  <c r="X34" i="13" s="1"/>
  <c r="W35" i="13"/>
  <c r="W36" i="13"/>
  <c r="X36" i="13" s="1"/>
  <c r="W37" i="13"/>
  <c r="H21" i="14"/>
  <c r="H21" i="15"/>
  <c r="X21" i="13"/>
  <c r="H25" i="15"/>
  <c r="X25" i="13"/>
  <c r="H26" i="14"/>
  <c r="H26" i="15"/>
  <c r="X26" i="13"/>
  <c r="R39" i="15"/>
  <c r="T39" i="15" s="1"/>
  <c r="V39" i="15" s="1"/>
  <c r="G39" i="15"/>
  <c r="M39" i="15" s="1"/>
  <c r="R32" i="14"/>
  <c r="T32" i="14" s="1"/>
  <c r="V32" i="14" s="1"/>
  <c r="G32" i="14"/>
  <c r="M32" i="14" s="1"/>
  <c r="R14" i="15"/>
  <c r="T14" i="15" s="1"/>
  <c r="V14" i="15" s="1"/>
  <c r="G14" i="15"/>
  <c r="M14" i="15" s="1"/>
  <c r="R35" i="15"/>
  <c r="T35" i="15" s="1"/>
  <c r="V35" i="15" s="1"/>
  <c r="G35" i="15"/>
  <c r="M35" i="15" s="1"/>
  <c r="R12" i="14"/>
  <c r="G12" i="14"/>
  <c r="R31" i="15"/>
  <c r="T31" i="15" s="1"/>
  <c r="V31" i="15" s="1"/>
  <c r="G31" i="15"/>
  <c r="M31" i="15" s="1"/>
  <c r="V42" i="14"/>
  <c r="V45" i="15"/>
  <c r="F46" i="14"/>
  <c r="F49" i="14" s="1"/>
  <c r="V38" i="14"/>
  <c r="V41" i="15"/>
  <c r="F47" i="13"/>
  <c r="W44" i="13"/>
  <c r="J12" i="14"/>
  <c r="V34" i="14"/>
  <c r="L12" i="15"/>
  <c r="V37" i="15"/>
  <c r="R44" i="14"/>
  <c r="T44" i="14" s="1"/>
  <c r="V44" i="14" s="1"/>
  <c r="G44" i="14"/>
  <c r="M44" i="14" s="1"/>
  <c r="V12" i="15"/>
  <c r="V33" i="15"/>
  <c r="G14" i="14"/>
  <c r="M14" i="14" s="1"/>
  <c r="R14" i="14"/>
  <c r="T14" i="14" s="1"/>
  <c r="V14" i="14" s="1"/>
  <c r="R40" i="14"/>
  <c r="T40" i="14" s="1"/>
  <c r="V40" i="14" s="1"/>
  <c r="G40" i="14"/>
  <c r="M40" i="14" s="1"/>
  <c r="R43" i="15"/>
  <c r="T43" i="15" s="1"/>
  <c r="V43" i="15" s="1"/>
  <c r="G43" i="15"/>
  <c r="M43" i="15" s="1"/>
  <c r="R31" i="14"/>
  <c r="T31" i="14" s="1"/>
  <c r="V31" i="14" s="1"/>
  <c r="G33" i="14"/>
  <c r="M33" i="14" s="1"/>
  <c r="R35" i="14"/>
  <c r="T35" i="14" s="1"/>
  <c r="V35" i="14" s="1"/>
  <c r="G37" i="14"/>
  <c r="M37" i="14" s="1"/>
  <c r="R39" i="14"/>
  <c r="T39" i="14" s="1"/>
  <c r="V39" i="14" s="1"/>
  <c r="G41" i="14"/>
  <c r="M41" i="14" s="1"/>
  <c r="R43" i="14"/>
  <c r="T43" i="14" s="1"/>
  <c r="V43" i="14" s="1"/>
  <c r="G45" i="14"/>
  <c r="M45" i="14" s="1"/>
  <c r="R13" i="15"/>
  <c r="T13" i="15" s="1"/>
  <c r="V13" i="15" s="1"/>
  <c r="G15" i="15"/>
  <c r="M15" i="15" s="1"/>
  <c r="G32" i="15"/>
  <c r="M32" i="15" s="1"/>
  <c r="R34" i="15"/>
  <c r="T34" i="15" s="1"/>
  <c r="V34" i="15" s="1"/>
  <c r="G36" i="15"/>
  <c r="M36" i="15" s="1"/>
  <c r="R38" i="15"/>
  <c r="T38" i="15" s="1"/>
  <c r="V38" i="15" s="1"/>
  <c r="G40" i="15"/>
  <c r="M40" i="15" s="1"/>
  <c r="R42" i="15"/>
  <c r="T42" i="15" s="1"/>
  <c r="V42" i="15" s="1"/>
  <c r="G44" i="15"/>
  <c r="M44" i="15" s="1"/>
  <c r="Z189" i="12" l="1"/>
  <c r="AA189" i="12" s="1"/>
  <c r="N189" i="12" s="1"/>
  <c r="O100" i="12"/>
  <c r="W26" i="14"/>
  <c r="X26" i="14" s="1"/>
  <c r="V26" i="14" s="1"/>
  <c r="W24" i="15"/>
  <c r="X24" i="15" s="1"/>
  <c r="W25" i="15"/>
  <c r="X25" i="15" s="1"/>
  <c r="W21" i="15"/>
  <c r="X21" i="15" s="1"/>
  <c r="W22" i="14"/>
  <c r="X22" i="14" s="1"/>
  <c r="V22" i="14" s="1"/>
  <c r="T12" i="14"/>
  <c r="W21" i="14"/>
  <c r="X21" i="14" s="1"/>
  <c r="V21" i="14" s="1"/>
  <c r="W22" i="15"/>
  <c r="X22" i="15" s="1"/>
  <c r="W23" i="14"/>
  <c r="X23" i="14" s="1"/>
  <c r="V23" i="14" s="1"/>
  <c r="M12" i="15"/>
  <c r="L12" i="14"/>
  <c r="W26" i="15"/>
  <c r="X26" i="15" s="1"/>
  <c r="W24" i="14"/>
  <c r="X24" i="14" s="1"/>
  <c r="V24" i="14" s="1"/>
  <c r="W23" i="15"/>
  <c r="X23" i="15" s="1"/>
  <c r="M189" i="12" l="1"/>
  <c r="L189" i="12"/>
  <c r="K189" i="12"/>
  <c r="J189" i="12"/>
  <c r="J197" i="12" s="1"/>
  <c r="K181" i="12" s="1"/>
  <c r="K197" i="12" s="1"/>
  <c r="L181" i="12" s="1"/>
  <c r="O116" i="12"/>
  <c r="O189" i="12"/>
  <c r="V12" i="14"/>
  <c r="M12" i="14"/>
  <c r="L197" i="12" l="1"/>
  <c r="M181" i="12" s="1"/>
  <c r="M197" i="12" s="1"/>
  <c r="N181" i="12" s="1"/>
  <c r="N197" i="12" s="1"/>
  <c r="O181" i="12" s="1"/>
  <c r="O197" i="12" s="1"/>
  <c r="P100" i="12"/>
  <c r="P116" i="12" l="1"/>
  <c r="P189" i="12"/>
  <c r="P181" i="12"/>
  <c r="W191" i="12"/>
  <c r="W190" i="12"/>
  <c r="AA188" i="12"/>
  <c r="J188" i="12" s="1"/>
  <c r="AA187" i="12"/>
  <c r="J187" i="12" s="1"/>
  <c r="AA186" i="12"/>
  <c r="J186" i="12"/>
  <c r="Z165" i="12"/>
  <c r="AA165" i="12" s="1"/>
  <c r="Z164" i="12"/>
  <c r="AA164" i="12" s="1"/>
  <c r="AA163" i="12"/>
  <c r="Z163" i="12"/>
  <c r="Z162" i="12"/>
  <c r="AA162" i="12" s="1"/>
  <c r="Z161" i="12"/>
  <c r="AA161" i="12" s="1"/>
  <c r="AA160" i="12"/>
  <c r="Z160" i="12"/>
  <c r="AA139" i="12"/>
  <c r="AA138" i="12"/>
  <c r="AA137" i="12"/>
  <c r="AA136" i="12"/>
  <c r="AA135" i="12"/>
  <c r="AA134" i="12"/>
  <c r="J115" i="12"/>
  <c r="K99" i="12" s="1"/>
  <c r="K188" i="12" s="1"/>
  <c r="J114" i="12"/>
  <c r="K98" i="12" s="1"/>
  <c r="J113" i="12"/>
  <c r="K97" i="12" s="1"/>
  <c r="K186" i="12" s="1"/>
  <c r="J111" i="12"/>
  <c r="J18" i="12" s="1"/>
  <c r="W110" i="12"/>
  <c r="W109" i="12"/>
  <c r="J103" i="12"/>
  <c r="J17" i="12" s="1"/>
  <c r="U85" i="12"/>
  <c r="U13" i="12" s="1"/>
  <c r="T85" i="12"/>
  <c r="T13" i="12" s="1"/>
  <c r="S85" i="12"/>
  <c r="S13" i="12" s="1"/>
  <c r="R85" i="12"/>
  <c r="R13" i="12" s="1"/>
  <c r="Q85" i="12"/>
  <c r="Q13" i="12" s="1"/>
  <c r="P85" i="12"/>
  <c r="P13" i="12" s="1"/>
  <c r="O85" i="12"/>
  <c r="N85" i="12"/>
  <c r="N13" i="12" s="1"/>
  <c r="M85" i="12"/>
  <c r="M13" i="12" s="1"/>
  <c r="L85" i="12"/>
  <c r="L13" i="12" s="1"/>
  <c r="K85" i="12"/>
  <c r="K13" i="12" s="1"/>
  <c r="J85" i="12"/>
  <c r="J13" i="12" s="1"/>
  <c r="W84" i="12"/>
  <c r="W83" i="12"/>
  <c r="W82" i="12"/>
  <c r="W81" i="12"/>
  <c r="W80" i="12"/>
  <c r="W79" i="12"/>
  <c r="U59" i="12"/>
  <c r="U8" i="12" s="1"/>
  <c r="T59" i="12"/>
  <c r="T8" i="12" s="1"/>
  <c r="S59" i="12"/>
  <c r="S8" i="12" s="1"/>
  <c r="R59" i="12"/>
  <c r="R8" i="12" s="1"/>
  <c r="Q59" i="12"/>
  <c r="Q8" i="12" s="1"/>
  <c r="P59" i="12"/>
  <c r="P8" i="12" s="1"/>
  <c r="O59" i="12"/>
  <c r="O8" i="12" s="1"/>
  <c r="N59" i="12"/>
  <c r="N8" i="12" s="1"/>
  <c r="M59" i="12"/>
  <c r="M8" i="12" s="1"/>
  <c r="L59" i="12"/>
  <c r="L8" i="12" s="1"/>
  <c r="K59" i="12"/>
  <c r="K8" i="12" s="1"/>
  <c r="J59" i="12"/>
  <c r="W58" i="12"/>
  <c r="V58" i="12"/>
  <c r="W57" i="12"/>
  <c r="V57" i="12"/>
  <c r="W56" i="12"/>
  <c r="V56" i="12"/>
  <c r="W55" i="12"/>
  <c r="V55" i="12"/>
  <c r="W54" i="12"/>
  <c r="V54" i="12"/>
  <c r="W53" i="12"/>
  <c r="V53" i="12"/>
  <c r="J19" i="12" l="1"/>
  <c r="K17" i="12" s="1"/>
  <c r="J8" i="12"/>
  <c r="J192" i="12"/>
  <c r="J36" i="12" s="1"/>
  <c r="P197" i="12"/>
  <c r="Q100" i="12"/>
  <c r="V59" i="12"/>
  <c r="W85" i="12"/>
  <c r="W59" i="12"/>
  <c r="K187" i="12"/>
  <c r="K192" i="12" s="1"/>
  <c r="K36" i="12" s="1"/>
  <c r="K103" i="12"/>
  <c r="O13" i="12"/>
  <c r="J119" i="12"/>
  <c r="J20" i="12" l="1"/>
  <c r="Q189" i="12"/>
  <c r="Q116" i="12"/>
  <c r="Q181" i="12"/>
  <c r="Q197" i="12" l="1"/>
  <c r="R100" i="12"/>
  <c r="R181" i="12" l="1"/>
  <c r="R116" i="12"/>
  <c r="R189" i="12"/>
  <c r="S100" i="12" l="1"/>
  <c r="R197" i="12"/>
  <c r="S181" i="12" s="1"/>
  <c r="S116" i="12" l="1"/>
  <c r="T100" i="12" s="1"/>
  <c r="S189" i="12"/>
  <c r="T116" i="12" l="1"/>
  <c r="U100" i="12" s="1"/>
  <c r="T189" i="12"/>
  <c r="S197" i="12"/>
  <c r="T181" i="12" s="1"/>
  <c r="T197" i="12" l="1"/>
  <c r="U181" i="12" s="1"/>
  <c r="V181" i="12" s="1"/>
  <c r="U116" i="12"/>
  <c r="V116" i="12" s="1"/>
  <c r="U189" i="12"/>
  <c r="V100" i="12"/>
  <c r="V189" i="12" l="1"/>
  <c r="W189" i="12"/>
  <c r="U197" i="12"/>
  <c r="V197" i="12" s="1"/>
  <c r="U5" i="10" l="1"/>
  <c r="X45" i="11" l="1"/>
  <c r="X44" i="11"/>
  <c r="W43" i="11"/>
  <c r="X42" i="11"/>
  <c r="W41" i="11"/>
  <c r="X40" i="11"/>
  <c r="X39" i="11"/>
  <c r="X38" i="11"/>
  <c r="W37" i="11"/>
  <c r="X36" i="11"/>
  <c r="W35" i="11"/>
  <c r="X35" i="11" s="1"/>
  <c r="X34" i="1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7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X43" i="11"/>
  <c r="U43" i="11"/>
  <c r="U40" i="11"/>
  <c r="R29" i="11"/>
  <c r="T29" i="11" s="1"/>
  <c r="W18" i="11"/>
  <c r="T5" i="11"/>
  <c r="T4" i="11"/>
  <c r="G40" i="11" l="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8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9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3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6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7" i="8" s="1"/>
  <c r="V44" i="11"/>
  <c r="Y44" i="11" s="1"/>
  <c r="J44" i="11" s="1"/>
  <c r="L44" i="11" s="1"/>
  <c r="I45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5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40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4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6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1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4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2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D48" i="15" s="1"/>
  <c r="G48" i="15" s="1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X29" i="10"/>
  <c r="W29" i="10"/>
  <c r="U29" i="10"/>
  <c r="R29" i="10"/>
  <c r="T29" i="10" s="1"/>
  <c r="G29" i="10"/>
  <c r="Y28" i="10"/>
  <c r="J28" i="10" s="1"/>
  <c r="L28" i="10" s="1"/>
  <c r="X28" i="10"/>
  <c r="W28" i="10"/>
  <c r="U28" i="10"/>
  <c r="R28" i="10"/>
  <c r="T28" i="10" s="1"/>
  <c r="G28" i="10"/>
  <c r="Y27" i="10"/>
  <c r="J27" i="10" s="1"/>
  <c r="L27" i="10" s="1"/>
  <c r="X27" i="10"/>
  <c r="W27" i="10"/>
  <c r="U27" i="10"/>
  <c r="R27" i="10"/>
  <c r="T27" i="10" s="1"/>
  <c r="G27" i="10"/>
  <c r="Y20" i="10"/>
  <c r="J20" i="10" s="1"/>
  <c r="L20" i="10" s="1"/>
  <c r="X20" i="10"/>
  <c r="W20" i="10"/>
  <c r="U20" i="10"/>
  <c r="R20" i="10"/>
  <c r="T20" i="10" s="1"/>
  <c r="G20" i="10"/>
  <c r="Y19" i="10"/>
  <c r="J19" i="10" s="1"/>
  <c r="L19" i="10" s="1"/>
  <c r="X19" i="10"/>
  <c r="W19" i="10"/>
  <c r="U19" i="10"/>
  <c r="R19" i="10"/>
  <c r="T19" i="10" s="1"/>
  <c r="G19" i="10"/>
  <c r="Y18" i="10"/>
  <c r="J18" i="10" s="1"/>
  <c r="L18" i="10" s="1"/>
  <c r="X18" i="10"/>
  <c r="W18" i="10"/>
  <c r="U18" i="10"/>
  <c r="R18" i="10"/>
  <c r="T18" i="10" s="1"/>
  <c r="G18" i="10"/>
  <c r="Y17" i="10"/>
  <c r="J17" i="10" s="1"/>
  <c r="L17" i="10" s="1"/>
  <c r="X17" i="10"/>
  <c r="W17" i="10"/>
  <c r="U17" i="10"/>
  <c r="R17" i="10"/>
  <c r="T17" i="10" s="1"/>
  <c r="G17" i="10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D48" i="14" s="1"/>
  <c r="G48" i="14" s="1"/>
  <c r="L47" i="9"/>
  <c r="G47" i="9"/>
  <c r="D47" i="14" s="1"/>
  <c r="G47" i="14" s="1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Y28" i="9"/>
  <c r="X28" i="9"/>
  <c r="W28" i="9"/>
  <c r="U28" i="9"/>
  <c r="R28" i="9"/>
  <c r="T28" i="9" s="1"/>
  <c r="G28" i="9"/>
  <c r="Y27" i="9"/>
  <c r="X27" i="9"/>
  <c r="W27" i="9"/>
  <c r="U27" i="9"/>
  <c r="R27" i="9"/>
  <c r="T27" i="9" s="1"/>
  <c r="G27" i="9"/>
  <c r="R26" i="9"/>
  <c r="T26" i="9" s="1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Y19" i="9"/>
  <c r="X19" i="9"/>
  <c r="W19" i="9"/>
  <c r="U19" i="9"/>
  <c r="R19" i="9"/>
  <c r="T19" i="9" s="1"/>
  <c r="G19" i="9"/>
  <c r="Y18" i="9"/>
  <c r="X18" i="9"/>
  <c r="W18" i="9"/>
  <c r="U18" i="9"/>
  <c r="R18" i="9"/>
  <c r="T18" i="9" s="1"/>
  <c r="G18" i="9"/>
  <c r="Y17" i="9"/>
  <c r="X17" i="9"/>
  <c r="W17" i="9"/>
  <c r="U17" i="9"/>
  <c r="R17" i="9"/>
  <c r="T17" i="9" s="1"/>
  <c r="G17" i="9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9" i="8"/>
  <c r="L48" i="8"/>
  <c r="S47" i="8"/>
  <c r="K47" i="8"/>
  <c r="K50" i="8" s="1"/>
  <c r="R46" i="8"/>
  <c r="T46" i="8" s="1"/>
  <c r="X45" i="8"/>
  <c r="U45" i="8"/>
  <c r="R45" i="8"/>
  <c r="T45" i="8" s="1"/>
  <c r="U44" i="8"/>
  <c r="R44" i="8"/>
  <c r="T44" i="8" s="1"/>
  <c r="X43" i="8"/>
  <c r="U43" i="8"/>
  <c r="R43" i="8"/>
  <c r="T43" i="8" s="1"/>
  <c r="W42" i="8"/>
  <c r="U42" i="8"/>
  <c r="U41" i="8"/>
  <c r="U40" i="8"/>
  <c r="R40" i="8"/>
  <c r="T40" i="8" s="1"/>
  <c r="U39" i="8"/>
  <c r="R38" i="8"/>
  <c r="T38" i="8" s="1"/>
  <c r="X37" i="8"/>
  <c r="U37" i="8"/>
  <c r="R37" i="8"/>
  <c r="T37" i="8" s="1"/>
  <c r="X35" i="8"/>
  <c r="U35" i="8"/>
  <c r="R35" i="8"/>
  <c r="T35" i="8" s="1"/>
  <c r="W34" i="8"/>
  <c r="X34" i="8" s="1"/>
  <c r="U34" i="8"/>
  <c r="U32" i="8"/>
  <c r="U31" i="8"/>
  <c r="R31" i="8"/>
  <c r="T31" i="8" s="1"/>
  <c r="U29" i="8"/>
  <c r="W28" i="8"/>
  <c r="U28" i="8"/>
  <c r="R28" i="8"/>
  <c r="T28" i="8" s="1"/>
  <c r="W27" i="8"/>
  <c r="U27" i="8"/>
  <c r="H25" i="10"/>
  <c r="R25" i="10"/>
  <c r="H24" i="10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T25" i="10" l="1"/>
  <c r="D18" i="14"/>
  <c r="G18" i="14" s="1"/>
  <c r="D28" i="14"/>
  <c r="R28" i="14" s="1"/>
  <c r="T28" i="14" s="1"/>
  <c r="V28" i="14" s="1"/>
  <c r="D17" i="15"/>
  <c r="R17" i="15" s="1"/>
  <c r="D27" i="15"/>
  <c r="R27" i="15" s="1"/>
  <c r="T27" i="15" s="1"/>
  <c r="V27" i="15" s="1"/>
  <c r="I19" i="15"/>
  <c r="L19" i="15" s="1"/>
  <c r="I29" i="15"/>
  <c r="L29" i="15" s="1"/>
  <c r="I29" i="25" s="1"/>
  <c r="D17" i="14"/>
  <c r="G17" i="14" s="1"/>
  <c r="D27" i="14"/>
  <c r="R27" i="14" s="1"/>
  <c r="T27" i="14" s="1"/>
  <c r="V27" i="14" s="1"/>
  <c r="D20" i="15"/>
  <c r="R20" i="15" s="1"/>
  <c r="T20" i="15" s="1"/>
  <c r="V20" i="15" s="1"/>
  <c r="I18" i="15"/>
  <c r="L18" i="15" s="1"/>
  <c r="I28" i="15"/>
  <c r="L28" i="15" s="1"/>
  <c r="I28" i="25" s="1"/>
  <c r="D20" i="14"/>
  <c r="G20" i="14" s="1"/>
  <c r="D19" i="15"/>
  <c r="R19" i="15" s="1"/>
  <c r="T19" i="15" s="1"/>
  <c r="V19" i="15" s="1"/>
  <c r="D29" i="15"/>
  <c r="R29" i="15" s="1"/>
  <c r="T29" i="15" s="1"/>
  <c r="V29" i="15" s="1"/>
  <c r="I17" i="15"/>
  <c r="L17" i="15" s="1"/>
  <c r="I27" i="15"/>
  <c r="L27" i="15" s="1"/>
  <c r="D19" i="14"/>
  <c r="G19" i="14" s="1"/>
  <c r="D29" i="14"/>
  <c r="R29" i="14" s="1"/>
  <c r="T29" i="14" s="1"/>
  <c r="V29" i="14" s="1"/>
  <c r="D18" i="15"/>
  <c r="G18" i="15" s="1"/>
  <c r="D28" i="15"/>
  <c r="R28" i="15" s="1"/>
  <c r="T28" i="15" s="1"/>
  <c r="V28" i="15" s="1"/>
  <c r="I20" i="15"/>
  <c r="L20" i="15" s="1"/>
  <c r="R18" i="14"/>
  <c r="T18" i="14" s="1"/>
  <c r="V18" i="14" s="1"/>
  <c r="V37" i="8"/>
  <c r="V43" i="8"/>
  <c r="V35" i="8"/>
  <c r="V40" i="8"/>
  <c r="V44" i="8"/>
  <c r="V45" i="8"/>
  <c r="V31" i="8"/>
  <c r="V19" i="10"/>
  <c r="V29" i="10"/>
  <c r="V34" i="10"/>
  <c r="V18" i="10"/>
  <c r="V28" i="10"/>
  <c r="V20" i="10"/>
  <c r="V13" i="9"/>
  <c r="V12" i="10"/>
  <c r="V17" i="10"/>
  <c r="V27" i="10"/>
  <c r="V32" i="10"/>
  <c r="V36" i="10"/>
  <c r="V40" i="10"/>
  <c r="V44" i="10"/>
  <c r="M41" i="11"/>
  <c r="V15" i="10"/>
  <c r="V35" i="10"/>
  <c r="V39" i="10"/>
  <c r="V43" i="10"/>
  <c r="W12" i="8"/>
  <c r="V38" i="10"/>
  <c r="V42" i="10"/>
  <c r="V14" i="8"/>
  <c r="Y14" i="8" s="1"/>
  <c r="J14" i="8" s="1"/>
  <c r="L14" i="8" s="1"/>
  <c r="V33" i="9"/>
  <c r="V37" i="9"/>
  <c r="V41" i="9"/>
  <c r="V45" i="9"/>
  <c r="G17" i="8"/>
  <c r="G46" i="8"/>
  <c r="V31" i="9"/>
  <c r="V35" i="9"/>
  <c r="V39" i="9"/>
  <c r="V43" i="9"/>
  <c r="T46" i="11"/>
  <c r="V12" i="11"/>
  <c r="V13" i="8"/>
  <c r="Y13" i="8" s="1"/>
  <c r="J13" i="8" s="1"/>
  <c r="L13" i="8" s="1"/>
  <c r="I13" i="20" s="1"/>
  <c r="W35" i="8"/>
  <c r="G15" i="8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Y19" i="8"/>
  <c r="J19" i="8" s="1"/>
  <c r="L19" i="8" s="1"/>
  <c r="M31" i="10"/>
  <c r="J13" i="9"/>
  <c r="L13" i="9" s="1"/>
  <c r="M13" i="9" s="1"/>
  <c r="J29" i="9"/>
  <c r="L29" i="9" s="1"/>
  <c r="Y29" i="8"/>
  <c r="J29" i="8" s="1"/>
  <c r="L29" i="8" s="1"/>
  <c r="I29" i="20" s="1"/>
  <c r="L29" i="20" s="1"/>
  <c r="I29" i="23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Y18" i="8"/>
  <c r="J18" i="8" s="1"/>
  <c r="L18" i="8" s="1"/>
  <c r="V20" i="9"/>
  <c r="J20" i="9"/>
  <c r="L20" i="9" s="1"/>
  <c r="Y20" i="8"/>
  <c r="J20" i="8" s="1"/>
  <c r="L20" i="8" s="1"/>
  <c r="J12" i="9"/>
  <c r="L12" i="9" s="1"/>
  <c r="M12" i="9" s="1"/>
  <c r="J28" i="9"/>
  <c r="L28" i="9" s="1"/>
  <c r="Y28" i="8"/>
  <c r="J28" i="8" s="1"/>
  <c r="L28" i="8" s="1"/>
  <c r="I28" i="20" s="1"/>
  <c r="L28" i="20" s="1"/>
  <c r="I28" i="23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Y17" i="8"/>
  <c r="J17" i="8" s="1"/>
  <c r="L17" i="8" s="1"/>
  <c r="V19" i="9"/>
  <c r="M33" i="10"/>
  <c r="J15" i="9"/>
  <c r="L15" i="9" s="1"/>
  <c r="M15" i="9" s="1"/>
  <c r="J27" i="9"/>
  <c r="L27" i="9" s="1"/>
  <c r="Y27" i="8"/>
  <c r="J27" i="8" s="1"/>
  <c r="L27" i="8" s="1"/>
  <c r="I27" i="20" s="1"/>
  <c r="L27" i="20" s="1"/>
  <c r="I27" i="23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M36" i="10"/>
  <c r="M35" i="10"/>
  <c r="M45" i="10"/>
  <c r="M19" i="10"/>
  <c r="W37" i="8"/>
  <c r="X44" i="8"/>
  <c r="U46" i="8"/>
  <c r="V46" i="8" s="1"/>
  <c r="X13" i="8"/>
  <c r="G45" i="8"/>
  <c r="H22" i="9"/>
  <c r="W22" i="9" s="1"/>
  <c r="X22" i="9" s="1"/>
  <c r="H24" i="9"/>
  <c r="W24" i="9" s="1"/>
  <c r="G27" i="8"/>
  <c r="G29" i="8"/>
  <c r="X20" i="8"/>
  <c r="G28" i="8"/>
  <c r="G31" i="8"/>
  <c r="G42" i="8"/>
  <c r="W32" i="8"/>
  <c r="X32" i="8" s="1"/>
  <c r="W31" i="8"/>
  <c r="H23" i="9"/>
  <c r="W23" i="9" s="1"/>
  <c r="X23" i="9" s="1"/>
  <c r="G18" i="8"/>
  <c r="R29" i="8"/>
  <c r="T29" i="8" s="1"/>
  <c r="X31" i="8"/>
  <c r="W39" i="8"/>
  <c r="X27" i="8"/>
  <c r="X42" i="8"/>
  <c r="X15" i="8"/>
  <c r="G20" i="8"/>
  <c r="X28" i="8"/>
  <c r="W38" i="8"/>
  <c r="G44" i="8"/>
  <c r="M43" i="10"/>
  <c r="M38" i="10"/>
  <c r="M29" i="10"/>
  <c r="M18" i="10"/>
  <c r="X18" i="8"/>
  <c r="U15" i="8"/>
  <c r="V15" i="8" s="1"/>
  <c r="Y15" i="8" s="1"/>
  <c r="J15" i="8" s="1"/>
  <c r="L15" i="8" s="1"/>
  <c r="I15" i="20" s="1"/>
  <c r="G41" i="8"/>
  <c r="R41" i="8"/>
  <c r="T41" i="8" s="1"/>
  <c r="G12" i="8"/>
  <c r="H26" i="10"/>
  <c r="F47" i="8"/>
  <c r="G13" i="8"/>
  <c r="G14" i="8"/>
  <c r="W19" i="8"/>
  <c r="H21" i="9"/>
  <c r="H21" i="10"/>
  <c r="X21" i="8"/>
  <c r="W26" i="8"/>
  <c r="X26" i="8" s="1"/>
  <c r="X29" i="8"/>
  <c r="W29" i="8"/>
  <c r="X19" i="8"/>
  <c r="G19" i="8"/>
  <c r="G39" i="8"/>
  <c r="X41" i="8"/>
  <c r="W41" i="8"/>
  <c r="H26" i="9"/>
  <c r="W18" i="8"/>
  <c r="G37" i="8"/>
  <c r="U38" i="8"/>
  <c r="V38" i="8" s="1"/>
  <c r="G38" i="8"/>
  <c r="R12" i="8"/>
  <c r="W17" i="8"/>
  <c r="W25" i="10"/>
  <c r="X25" i="10" s="1"/>
  <c r="R42" i="8"/>
  <c r="T42" i="8" s="1"/>
  <c r="V42" i="8" s="1"/>
  <c r="M20" i="10"/>
  <c r="X17" i="8"/>
  <c r="W24" i="10"/>
  <c r="X24" i="10" s="1"/>
  <c r="W24" i="8"/>
  <c r="X24" i="8" s="1"/>
  <c r="X38" i="8"/>
  <c r="R39" i="8"/>
  <c r="T39" i="8" s="1"/>
  <c r="W40" i="8"/>
  <c r="G47" i="10"/>
  <c r="D47" i="15" s="1"/>
  <c r="G47" i="15" s="1"/>
  <c r="M14" i="10"/>
  <c r="R21" i="10"/>
  <c r="W14" i="8"/>
  <c r="R19" i="8"/>
  <c r="T19" i="8" s="1"/>
  <c r="F46" i="10"/>
  <c r="F49" i="10" s="1"/>
  <c r="W23" i="10"/>
  <c r="X23" i="10" s="1"/>
  <c r="W23" i="8"/>
  <c r="X23" i="8" s="1"/>
  <c r="R27" i="8"/>
  <c r="T27" i="8" s="1"/>
  <c r="G40" i="8"/>
  <c r="X40" i="8"/>
  <c r="W46" i="8"/>
  <c r="W25" i="8"/>
  <c r="X25" i="8" s="1"/>
  <c r="T12" i="9"/>
  <c r="R46" i="9"/>
  <c r="W13" i="8"/>
  <c r="W22" i="10"/>
  <c r="X22" i="10" s="1"/>
  <c r="W22" i="8"/>
  <c r="X22" i="8" s="1"/>
  <c r="R26" i="10"/>
  <c r="G35" i="8"/>
  <c r="X46" i="8"/>
  <c r="M40" i="10"/>
  <c r="M44" i="10"/>
  <c r="M37" i="10"/>
  <c r="X39" i="8"/>
  <c r="G43" i="8"/>
  <c r="M32" i="10"/>
  <c r="R23" i="10"/>
  <c r="W43" i="8"/>
  <c r="W45" i="8"/>
  <c r="M28" i="10"/>
  <c r="W36" i="8"/>
  <c r="X36" i="8" s="1"/>
  <c r="W44" i="8"/>
  <c r="J12" i="10"/>
  <c r="R17" i="14" l="1"/>
  <c r="T26" i="10"/>
  <c r="T21" i="10"/>
  <c r="G17" i="15"/>
  <c r="R17" i="18" s="1"/>
  <c r="T17" i="18" s="1"/>
  <c r="V17" i="18" s="1"/>
  <c r="T23" i="10"/>
  <c r="D18" i="21"/>
  <c r="D17" i="21"/>
  <c r="L17" i="18"/>
  <c r="I17" i="22" s="1"/>
  <c r="L17" i="22" s="1"/>
  <c r="I17" i="25" s="1"/>
  <c r="L27" i="18"/>
  <c r="I27" i="22"/>
  <c r="L27" i="22" s="1"/>
  <c r="I27" i="25" s="1"/>
  <c r="L29" i="18"/>
  <c r="I29" i="22"/>
  <c r="L29" i="22" s="1"/>
  <c r="D20" i="21"/>
  <c r="L20" i="18"/>
  <c r="I20" i="22" s="1"/>
  <c r="L28" i="18"/>
  <c r="I28" i="22"/>
  <c r="L28" i="22" s="1"/>
  <c r="L19" i="18"/>
  <c r="I19" i="22" s="1"/>
  <c r="D19" i="21"/>
  <c r="G29" i="15"/>
  <c r="R18" i="15"/>
  <c r="T18" i="15" s="1"/>
  <c r="V18" i="15" s="1"/>
  <c r="V18" i="13" s="1"/>
  <c r="G19" i="15"/>
  <c r="G20" i="15"/>
  <c r="G28" i="14"/>
  <c r="R20" i="14"/>
  <c r="T20" i="14" s="1"/>
  <c r="V20" i="14" s="1"/>
  <c r="V20" i="13" s="1"/>
  <c r="R19" i="14"/>
  <c r="T19" i="14" s="1"/>
  <c r="V19" i="14" s="1"/>
  <c r="V19" i="13" s="1"/>
  <c r="V29" i="13"/>
  <c r="M18" i="15"/>
  <c r="G18" i="18"/>
  <c r="D18" i="22" s="1"/>
  <c r="G18" i="22" s="1"/>
  <c r="D18" i="25" s="1"/>
  <c r="D38" i="13"/>
  <c r="G38" i="13" s="1"/>
  <c r="D19" i="13"/>
  <c r="D44" i="13"/>
  <c r="G44" i="13" s="1"/>
  <c r="D28" i="13"/>
  <c r="R28" i="13" s="1"/>
  <c r="T28" i="13" s="1"/>
  <c r="I19" i="13"/>
  <c r="L19" i="13" s="1"/>
  <c r="D41" i="13"/>
  <c r="G41" i="13" s="1"/>
  <c r="I28" i="13"/>
  <c r="L28" i="13" s="1"/>
  <c r="I28" i="16"/>
  <c r="L28" i="16" s="1"/>
  <c r="I14" i="13"/>
  <c r="D37" i="13"/>
  <c r="R37" i="13" s="1"/>
  <c r="T37" i="13" s="1"/>
  <c r="V37" i="13" s="1"/>
  <c r="Y37" i="13" s="1"/>
  <c r="J37" i="13" s="1"/>
  <c r="D14" i="13"/>
  <c r="R14" i="13" s="1"/>
  <c r="T14" i="13" s="1"/>
  <c r="I15" i="13"/>
  <c r="I15" i="16"/>
  <c r="D18" i="13"/>
  <c r="D29" i="13"/>
  <c r="I17" i="13"/>
  <c r="L17" i="13" s="1"/>
  <c r="I17" i="16"/>
  <c r="L17" i="16" s="1"/>
  <c r="I17" i="20" s="1"/>
  <c r="L17" i="20" s="1"/>
  <c r="I17" i="23" s="1"/>
  <c r="D15" i="13"/>
  <c r="G15" i="13" s="1"/>
  <c r="G28" i="15"/>
  <c r="D28" i="22" s="1"/>
  <c r="D13" i="13"/>
  <c r="R13" i="13" s="1"/>
  <c r="T13" i="13" s="1"/>
  <c r="V13" i="13" s="1"/>
  <c r="Y13" i="13" s="1"/>
  <c r="J13" i="13" s="1"/>
  <c r="D20" i="13"/>
  <c r="R20" i="13" s="1"/>
  <c r="T20" i="13" s="1"/>
  <c r="D27" i="13"/>
  <c r="R27" i="13" s="1"/>
  <c r="T27" i="13" s="1"/>
  <c r="D46" i="13"/>
  <c r="R46" i="13" s="1"/>
  <c r="T46" i="13" s="1"/>
  <c r="V46" i="13" s="1"/>
  <c r="Y46" i="13" s="1"/>
  <c r="J46" i="13" s="1"/>
  <c r="L46" i="13" s="1"/>
  <c r="I20" i="13"/>
  <c r="L20" i="13" s="1"/>
  <c r="I29" i="13"/>
  <c r="L29" i="13" s="1"/>
  <c r="I29" i="16"/>
  <c r="L29" i="16" s="1"/>
  <c r="I13" i="13"/>
  <c r="I13" i="16"/>
  <c r="D17" i="13"/>
  <c r="G27" i="14"/>
  <c r="I27" i="13"/>
  <c r="L27" i="13" s="1"/>
  <c r="D35" i="13"/>
  <c r="R35" i="13" s="1"/>
  <c r="T35" i="13" s="1"/>
  <c r="V35" i="13" s="1"/>
  <c r="Y35" i="13" s="1"/>
  <c r="J35" i="13" s="1"/>
  <c r="D43" i="13"/>
  <c r="R43" i="13" s="1"/>
  <c r="T43" i="13" s="1"/>
  <c r="V43" i="13" s="1"/>
  <c r="Y43" i="13" s="1"/>
  <c r="J43" i="13" s="1"/>
  <c r="L43" i="13" s="1"/>
  <c r="D12" i="13"/>
  <c r="G12" i="13" s="1"/>
  <c r="D42" i="13"/>
  <c r="G42" i="13" s="1"/>
  <c r="D45" i="13"/>
  <c r="R45" i="13" s="1"/>
  <c r="T45" i="13" s="1"/>
  <c r="V45" i="13" s="1"/>
  <c r="Y45" i="13" s="1"/>
  <c r="J45" i="13" s="1"/>
  <c r="L45" i="13" s="1"/>
  <c r="G29" i="14"/>
  <c r="G27" i="15"/>
  <c r="D27" i="22" s="1"/>
  <c r="D40" i="13"/>
  <c r="G40" i="13" s="1"/>
  <c r="D39" i="13"/>
  <c r="G39" i="13" s="1"/>
  <c r="D31" i="13"/>
  <c r="R31" i="13" s="1"/>
  <c r="T31" i="13" s="1"/>
  <c r="V31" i="13" s="1"/>
  <c r="Y31" i="13" s="1"/>
  <c r="J31" i="13" s="1"/>
  <c r="I18" i="13"/>
  <c r="L18" i="13" s="1"/>
  <c r="I25" i="14"/>
  <c r="M27" i="9"/>
  <c r="I27" i="14"/>
  <c r="L27" i="14" s="1"/>
  <c r="I27" i="21" s="1"/>
  <c r="L27" i="21" s="1"/>
  <c r="I27" i="24" s="1"/>
  <c r="M18" i="9"/>
  <c r="I18" i="14"/>
  <c r="L18" i="14" s="1"/>
  <c r="I18" i="21" s="1"/>
  <c r="L18" i="21" s="1"/>
  <c r="I18" i="24" s="1"/>
  <c r="M19" i="9"/>
  <c r="I19" i="14"/>
  <c r="L19" i="14" s="1"/>
  <c r="I19" i="21" s="1"/>
  <c r="L19" i="21" s="1"/>
  <c r="I19" i="24" s="1"/>
  <c r="V28" i="13"/>
  <c r="M28" i="9"/>
  <c r="I28" i="14"/>
  <c r="L28" i="14" s="1"/>
  <c r="I28" i="21" s="1"/>
  <c r="L28" i="21" s="1"/>
  <c r="I28" i="24" s="1"/>
  <c r="M17" i="9"/>
  <c r="I17" i="14"/>
  <c r="M20" i="9"/>
  <c r="I20" i="14"/>
  <c r="L20" i="14" s="1"/>
  <c r="I20" i="21" s="1"/>
  <c r="L20" i="21" s="1"/>
  <c r="I20" i="24" s="1"/>
  <c r="M29" i="9"/>
  <c r="I29" i="14"/>
  <c r="L29" i="14" s="1"/>
  <c r="I29" i="24" s="1"/>
  <c r="V27" i="13"/>
  <c r="T17" i="15"/>
  <c r="T17" i="14"/>
  <c r="G37" i="13"/>
  <c r="M17" i="15"/>
  <c r="V41" i="8"/>
  <c r="Y41" i="8" s="1"/>
  <c r="J41" i="8" s="1"/>
  <c r="L41" i="8" s="1"/>
  <c r="M41" i="8" s="1"/>
  <c r="V39" i="8"/>
  <c r="Y39" i="8" s="1"/>
  <c r="J39" i="8" s="1"/>
  <c r="L39" i="8" s="1"/>
  <c r="M39" i="8" s="1"/>
  <c r="Y46" i="8"/>
  <c r="J46" i="8" s="1"/>
  <c r="L46" i="8" s="1"/>
  <c r="M46" i="8" s="1"/>
  <c r="V27" i="8"/>
  <c r="M17" i="8"/>
  <c r="M15" i="8"/>
  <c r="V29" i="8"/>
  <c r="M18" i="8"/>
  <c r="Y12" i="11"/>
  <c r="V46" i="11"/>
  <c r="V12" i="9"/>
  <c r="Y43" i="8"/>
  <c r="J43" i="8" s="1"/>
  <c r="L43" i="8" s="1"/>
  <c r="M43" i="8" s="1"/>
  <c r="Y44" i="8"/>
  <c r="J44" i="8" s="1"/>
  <c r="L44" i="8" s="1"/>
  <c r="M44" i="8" s="1"/>
  <c r="Y40" i="8"/>
  <c r="J40" i="8" s="1"/>
  <c r="L40" i="8" s="1"/>
  <c r="M40" i="8" s="1"/>
  <c r="V17" i="8"/>
  <c r="Y37" i="8"/>
  <c r="J37" i="8" s="1"/>
  <c r="L37" i="8" s="1"/>
  <c r="I37" i="16" s="1"/>
  <c r="Y35" i="8"/>
  <c r="J35" i="8" s="1"/>
  <c r="L35" i="8" s="1"/>
  <c r="I35" i="16" s="1"/>
  <c r="V28" i="8"/>
  <c r="V18" i="8"/>
  <c r="V19" i="8"/>
  <c r="Y42" i="8"/>
  <c r="J42" i="8" s="1"/>
  <c r="L42" i="8" s="1"/>
  <c r="M42" i="8" s="1"/>
  <c r="V20" i="8"/>
  <c r="M20" i="8"/>
  <c r="Y31" i="8"/>
  <c r="J31" i="8" s="1"/>
  <c r="L31" i="8" s="1"/>
  <c r="I31" i="16" s="1"/>
  <c r="X24" i="9"/>
  <c r="M13" i="8"/>
  <c r="Y38" i="8"/>
  <c r="J38" i="8" s="1"/>
  <c r="L38" i="8" s="1"/>
  <c r="I38" i="16" s="1"/>
  <c r="Y45" i="8"/>
  <c r="J45" i="8" s="1"/>
  <c r="L45" i="8" s="1"/>
  <c r="M45" i="8" s="1"/>
  <c r="M29" i="8"/>
  <c r="M19" i="8"/>
  <c r="M28" i="8"/>
  <c r="M27" i="8"/>
  <c r="M14" i="8"/>
  <c r="R24" i="10"/>
  <c r="W21" i="9"/>
  <c r="X21" i="9" s="1"/>
  <c r="R22" i="10"/>
  <c r="D46" i="10"/>
  <c r="D49" i="10" s="1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D29" i="22" l="1"/>
  <c r="D29" i="25"/>
  <c r="R18" i="25"/>
  <c r="T18" i="25" s="1"/>
  <c r="V18" i="25" s="1"/>
  <c r="Y18" i="25" s="1"/>
  <c r="J18" i="25" s="1"/>
  <c r="G18" i="25"/>
  <c r="R18" i="22"/>
  <c r="T18" i="22" s="1"/>
  <c r="V18" i="22" s="1"/>
  <c r="Y18" i="22" s="1"/>
  <c r="G18" i="17"/>
  <c r="D18" i="24" s="1"/>
  <c r="D18" i="16"/>
  <c r="R19" i="17"/>
  <c r="T19" i="17" s="1"/>
  <c r="V19" i="17" s="1"/>
  <c r="G20" i="17"/>
  <c r="D20" i="24" s="1"/>
  <c r="R17" i="17"/>
  <c r="T17" i="17" s="1"/>
  <c r="D17" i="16"/>
  <c r="G17" i="18"/>
  <c r="R18" i="17"/>
  <c r="T18" i="17" s="1"/>
  <c r="V18" i="17" s="1"/>
  <c r="G19" i="17"/>
  <c r="D19" i="24" s="1"/>
  <c r="T22" i="10"/>
  <c r="T24" i="10"/>
  <c r="T46" i="10" s="1"/>
  <c r="G17" i="17"/>
  <c r="D17" i="24" s="1"/>
  <c r="R20" i="17"/>
  <c r="T20" i="17" s="1"/>
  <c r="V20" i="17" s="1"/>
  <c r="R15" i="13"/>
  <c r="T15" i="13" s="1"/>
  <c r="V15" i="13" s="1"/>
  <c r="Y15" i="13" s="1"/>
  <c r="J15" i="13" s="1"/>
  <c r="L15" i="13" s="1"/>
  <c r="M15" i="13" s="1"/>
  <c r="R42" i="13"/>
  <c r="T42" i="13" s="1"/>
  <c r="V42" i="13" s="1"/>
  <c r="Y42" i="13" s="1"/>
  <c r="J42" i="13" s="1"/>
  <c r="L42" i="13" s="1"/>
  <c r="M42" i="13" s="1"/>
  <c r="R29" i="18"/>
  <c r="T29" i="18" s="1"/>
  <c r="V29" i="18" s="1"/>
  <c r="R17" i="13"/>
  <c r="T17" i="13" s="1"/>
  <c r="M29" i="15"/>
  <c r="R20" i="21"/>
  <c r="T20" i="21" s="1"/>
  <c r="G20" i="21"/>
  <c r="M20" i="21" s="1"/>
  <c r="L29" i="17"/>
  <c r="I29" i="21"/>
  <c r="L29" i="21" s="1"/>
  <c r="G29" i="22"/>
  <c r="M29" i="22" s="1"/>
  <c r="R29" i="22"/>
  <c r="T29" i="22" s="1"/>
  <c r="R27" i="22"/>
  <c r="T27" i="22" s="1"/>
  <c r="G27" i="22"/>
  <c r="R41" i="16"/>
  <c r="T41" i="16" s="1"/>
  <c r="V41" i="16" s="1"/>
  <c r="Y41" i="16" s="1"/>
  <c r="J41" i="16" s="1"/>
  <c r="L41" i="16" s="1"/>
  <c r="I41" i="20" s="1"/>
  <c r="D29" i="21"/>
  <c r="T19" i="18"/>
  <c r="V19" i="18" s="1"/>
  <c r="G19" i="21"/>
  <c r="M19" i="21" s="1"/>
  <c r="R19" i="21"/>
  <c r="T19" i="21" s="1"/>
  <c r="G39" i="16"/>
  <c r="D39" i="20" s="1"/>
  <c r="M19" i="15"/>
  <c r="G17" i="21"/>
  <c r="R17" i="21"/>
  <c r="G40" i="16"/>
  <c r="D40" i="20" s="1"/>
  <c r="G42" i="16"/>
  <c r="D42" i="20" s="1"/>
  <c r="D27" i="21"/>
  <c r="G28" i="22"/>
  <c r="R28" i="22"/>
  <c r="T28" i="22" s="1"/>
  <c r="D28" i="21"/>
  <c r="R18" i="21"/>
  <c r="T18" i="21" s="1"/>
  <c r="G18" i="21"/>
  <c r="M18" i="21" s="1"/>
  <c r="R38" i="16"/>
  <c r="T38" i="16" s="1"/>
  <c r="D12" i="16"/>
  <c r="G12" i="16" s="1"/>
  <c r="D12" i="20"/>
  <c r="D15" i="16"/>
  <c r="G15" i="16" s="1"/>
  <c r="D15" i="20"/>
  <c r="M20" i="15"/>
  <c r="G46" i="13"/>
  <c r="M46" i="13" s="1"/>
  <c r="R41" i="13"/>
  <c r="T41" i="13" s="1"/>
  <c r="V41" i="13" s="1"/>
  <c r="Y41" i="13" s="1"/>
  <c r="J41" i="13" s="1"/>
  <c r="L41" i="13" s="1"/>
  <c r="M41" i="13" s="1"/>
  <c r="R38" i="13"/>
  <c r="T38" i="13" s="1"/>
  <c r="V38" i="13" s="1"/>
  <c r="Y38" i="13" s="1"/>
  <c r="J38" i="13" s="1"/>
  <c r="L13" i="13"/>
  <c r="G13" i="13"/>
  <c r="M27" i="14"/>
  <c r="M28" i="14"/>
  <c r="L28" i="17"/>
  <c r="T20" i="18"/>
  <c r="V20" i="18" s="1"/>
  <c r="R40" i="13"/>
  <c r="T40" i="13" s="1"/>
  <c r="V40" i="13" s="1"/>
  <c r="Y40" i="13" s="1"/>
  <c r="J40" i="13" s="1"/>
  <c r="L40" i="13" s="1"/>
  <c r="M40" i="13" s="1"/>
  <c r="M19" i="14"/>
  <c r="M20" i="14"/>
  <c r="G45" i="13"/>
  <c r="M45" i="13" s="1"/>
  <c r="M18" i="14"/>
  <c r="T18" i="18"/>
  <c r="V18" i="18" s="1"/>
  <c r="V18" i="16" s="1"/>
  <c r="R29" i="13"/>
  <c r="T29" i="13" s="1"/>
  <c r="R44" i="13"/>
  <c r="T44" i="13" s="1"/>
  <c r="V44" i="13" s="1"/>
  <c r="Y44" i="13" s="1"/>
  <c r="J44" i="13" s="1"/>
  <c r="L44" i="13" s="1"/>
  <c r="M44" i="13" s="1"/>
  <c r="R18" i="13"/>
  <c r="T18" i="13" s="1"/>
  <c r="G35" i="13"/>
  <c r="G31" i="13"/>
  <c r="G43" i="13"/>
  <c r="M27" i="15"/>
  <c r="R39" i="13"/>
  <c r="T39" i="13" s="1"/>
  <c r="V39" i="13" s="1"/>
  <c r="Y39" i="13" s="1"/>
  <c r="J39" i="13" s="1"/>
  <c r="L39" i="13" s="1"/>
  <c r="M39" i="13" s="1"/>
  <c r="R19" i="13"/>
  <c r="T19" i="13" s="1"/>
  <c r="M28" i="15"/>
  <c r="R12" i="13"/>
  <c r="T12" i="13" s="1"/>
  <c r="M29" i="14"/>
  <c r="L17" i="14"/>
  <c r="I17" i="21" s="1"/>
  <c r="L17" i="21" s="1"/>
  <c r="I17" i="24" s="1"/>
  <c r="M35" i="8"/>
  <c r="I35" i="13"/>
  <c r="L35" i="13" s="1"/>
  <c r="M31" i="8"/>
  <c r="I31" i="13"/>
  <c r="L31" i="13" s="1"/>
  <c r="M37" i="8"/>
  <c r="I37" i="13"/>
  <c r="L37" i="13" s="1"/>
  <c r="M37" i="13" s="1"/>
  <c r="M38" i="8"/>
  <c r="I38" i="13"/>
  <c r="V17" i="15"/>
  <c r="V17" i="14"/>
  <c r="Y46" i="11"/>
  <c r="J12" i="11"/>
  <c r="M12" i="10"/>
  <c r="R46" i="10"/>
  <c r="V20" i="16" l="1"/>
  <c r="R29" i="25"/>
  <c r="T29" i="25" s="1"/>
  <c r="V29" i="25" s="1"/>
  <c r="Y29" i="25" s="1"/>
  <c r="J29" i="25" s="1"/>
  <c r="L29" i="25" s="1"/>
  <c r="G29" i="25"/>
  <c r="G17" i="24"/>
  <c r="R17" i="24"/>
  <c r="T17" i="24" s="1"/>
  <c r="V17" i="24" s="1"/>
  <c r="Y17" i="24" s="1"/>
  <c r="J17" i="24" s="1"/>
  <c r="L17" i="24" s="1"/>
  <c r="R20" i="24"/>
  <c r="T20" i="24" s="1"/>
  <c r="V20" i="24" s="1"/>
  <c r="Y20" i="24" s="1"/>
  <c r="J20" i="24" s="1"/>
  <c r="L20" i="24" s="1"/>
  <c r="G20" i="24"/>
  <c r="M27" i="22"/>
  <c r="D27" i="25"/>
  <c r="M28" i="22"/>
  <c r="D28" i="25"/>
  <c r="R19" i="24"/>
  <c r="T19" i="24" s="1"/>
  <c r="V19" i="24" s="1"/>
  <c r="Y19" i="24" s="1"/>
  <c r="J19" i="24" s="1"/>
  <c r="L19" i="24" s="1"/>
  <c r="G19" i="24"/>
  <c r="M19" i="24" s="1"/>
  <c r="G18" i="24"/>
  <c r="R18" i="24"/>
  <c r="T18" i="24" s="1"/>
  <c r="V18" i="24" s="1"/>
  <c r="Y18" i="24" s="1"/>
  <c r="J18" i="24" s="1"/>
  <c r="L18" i="24" s="1"/>
  <c r="V18" i="20"/>
  <c r="V19" i="16"/>
  <c r="D20" i="16"/>
  <c r="L20" i="17"/>
  <c r="M20" i="17" s="1"/>
  <c r="I20" i="16"/>
  <c r="L20" i="16" s="1"/>
  <c r="I20" i="20" s="1"/>
  <c r="D19" i="16"/>
  <c r="D28" i="16"/>
  <c r="L19" i="17"/>
  <c r="M19" i="17" s="1"/>
  <c r="I19" i="16"/>
  <c r="L19" i="16" s="1"/>
  <c r="I19" i="20" s="1"/>
  <c r="R29" i="17"/>
  <c r="T29" i="17" s="1"/>
  <c r="V29" i="17" s="1"/>
  <c r="V29" i="16" s="1"/>
  <c r="D29" i="16"/>
  <c r="M17" i="18"/>
  <c r="D17" i="22"/>
  <c r="L18" i="17"/>
  <c r="M18" i="17" s="1"/>
  <c r="I18" i="16"/>
  <c r="L27" i="17"/>
  <c r="I27" i="16"/>
  <c r="L27" i="16" s="1"/>
  <c r="G27" i="17"/>
  <c r="D27" i="24" s="1"/>
  <c r="D27" i="16"/>
  <c r="G29" i="18"/>
  <c r="M29" i="18" s="1"/>
  <c r="R12" i="16"/>
  <c r="T12" i="16" s="1"/>
  <c r="V12" i="16" s="1"/>
  <c r="Y12" i="16" s="1"/>
  <c r="G41" i="16"/>
  <c r="D41" i="20" s="1"/>
  <c r="R41" i="20" s="1"/>
  <c r="T41" i="20" s="1"/>
  <c r="R40" i="16"/>
  <c r="T40" i="16" s="1"/>
  <c r="V40" i="16" s="1"/>
  <c r="Y40" i="16" s="1"/>
  <c r="J40" i="16" s="1"/>
  <c r="L40" i="16" s="1"/>
  <c r="R44" i="16"/>
  <c r="T44" i="16" s="1"/>
  <c r="R15" i="16"/>
  <c r="T15" i="16" s="1"/>
  <c r="V15" i="16" s="1"/>
  <c r="Y15" i="16" s="1"/>
  <c r="J15" i="16" s="1"/>
  <c r="L15" i="16" s="1"/>
  <c r="M15" i="16" s="1"/>
  <c r="R27" i="17"/>
  <c r="T27" i="17" s="1"/>
  <c r="V27" i="17" s="1"/>
  <c r="R39" i="16"/>
  <c r="T39" i="16" s="1"/>
  <c r="V39" i="16" s="1"/>
  <c r="J39" i="16" s="1"/>
  <c r="L39" i="16" s="1"/>
  <c r="G19" i="18"/>
  <c r="R42" i="16"/>
  <c r="T42" i="16" s="1"/>
  <c r="V42" i="16" s="1"/>
  <c r="Y42" i="16" s="1"/>
  <c r="J42" i="16" s="1"/>
  <c r="L42" i="16" s="1"/>
  <c r="G29" i="17"/>
  <c r="M17" i="21"/>
  <c r="R37" i="16"/>
  <c r="T37" i="16" s="1"/>
  <c r="D46" i="16"/>
  <c r="R12" i="20"/>
  <c r="T12" i="20" s="1"/>
  <c r="V12" i="20" s="1"/>
  <c r="G12" i="20"/>
  <c r="D12" i="23" s="1"/>
  <c r="R42" i="20"/>
  <c r="T42" i="20" s="1"/>
  <c r="G42" i="20"/>
  <c r="D42" i="23" s="1"/>
  <c r="G27" i="21"/>
  <c r="M27" i="21" s="1"/>
  <c r="R27" i="21"/>
  <c r="T27" i="21" s="1"/>
  <c r="V27" i="20" s="1"/>
  <c r="R39" i="20"/>
  <c r="T39" i="20" s="1"/>
  <c r="V39" i="20" s="1"/>
  <c r="Y39" i="20" s="1"/>
  <c r="G39" i="20"/>
  <c r="D39" i="23" s="1"/>
  <c r="G40" i="20"/>
  <c r="D40" i="23" s="1"/>
  <c r="R40" i="20"/>
  <c r="T40" i="20" s="1"/>
  <c r="D13" i="16"/>
  <c r="G13" i="16" s="1"/>
  <c r="D13" i="20"/>
  <c r="T17" i="21"/>
  <c r="G28" i="21"/>
  <c r="M28" i="21" s="1"/>
  <c r="R28" i="21"/>
  <c r="T28" i="21" s="1"/>
  <c r="V28" i="20" s="1"/>
  <c r="R31" i="16"/>
  <c r="T31" i="16" s="1"/>
  <c r="V31" i="16" s="1"/>
  <c r="L31" i="16" s="1"/>
  <c r="I31" i="20" s="1"/>
  <c r="G28" i="17"/>
  <c r="R28" i="17"/>
  <c r="T28" i="17" s="1"/>
  <c r="V28" i="17" s="1"/>
  <c r="R15" i="20"/>
  <c r="T15" i="20" s="1"/>
  <c r="V15" i="20" s="1"/>
  <c r="Y15" i="20" s="1"/>
  <c r="J15" i="20" s="1"/>
  <c r="L15" i="20" s="1"/>
  <c r="I15" i="23" s="1"/>
  <c r="G15" i="20"/>
  <c r="D15" i="23" s="1"/>
  <c r="G29" i="21"/>
  <c r="M29" i="21" s="1"/>
  <c r="R29" i="21"/>
  <c r="T29" i="21" s="1"/>
  <c r="V29" i="20" s="1"/>
  <c r="L38" i="13"/>
  <c r="M38" i="13" s="1"/>
  <c r="M13" i="13"/>
  <c r="G20" i="18"/>
  <c r="M17" i="14"/>
  <c r="L17" i="17"/>
  <c r="M17" i="17" s="1"/>
  <c r="M35" i="13"/>
  <c r="M43" i="13"/>
  <c r="M31" i="13"/>
  <c r="T28" i="18"/>
  <c r="V28" i="18" s="1"/>
  <c r="G28" i="18"/>
  <c r="M28" i="18" s="1"/>
  <c r="T27" i="18"/>
  <c r="V27" i="18" s="1"/>
  <c r="G27" i="18"/>
  <c r="M27" i="18" s="1"/>
  <c r="V17" i="17"/>
  <c r="V17" i="13"/>
  <c r="V12" i="13"/>
  <c r="Y12" i="13" s="1"/>
  <c r="J12" i="13" s="1"/>
  <c r="J46" i="11"/>
  <c r="J49" i="11" s="1"/>
  <c r="J51" i="11" s="1"/>
  <c r="J59" i="11" s="1"/>
  <c r="L12" i="11"/>
  <c r="V41" i="20" l="1"/>
  <c r="Y41" i="20" s="1"/>
  <c r="J41" i="20" s="1"/>
  <c r="L41" i="20" s="1"/>
  <c r="I41" i="23" s="1"/>
  <c r="J42" i="20"/>
  <c r="V42" i="20"/>
  <c r="Y42" i="20" s="1"/>
  <c r="V40" i="20"/>
  <c r="Y40" i="20" s="1"/>
  <c r="J40" i="20" s="1"/>
  <c r="M18" i="24"/>
  <c r="M20" i="24"/>
  <c r="R15" i="23"/>
  <c r="T15" i="23" s="1"/>
  <c r="G15" i="23"/>
  <c r="M29" i="17"/>
  <c r="D29" i="24"/>
  <c r="J39" i="20"/>
  <c r="M17" i="24"/>
  <c r="G42" i="23"/>
  <c r="R42" i="23"/>
  <c r="T42" i="23" s="1"/>
  <c r="V42" i="23" s="1"/>
  <c r="Y42" i="23" s="1"/>
  <c r="J42" i="23" s="1"/>
  <c r="G28" i="25"/>
  <c r="R28" i="25"/>
  <c r="T28" i="25" s="1"/>
  <c r="V28" i="25" s="1"/>
  <c r="Y28" i="25" s="1"/>
  <c r="J28" i="25" s="1"/>
  <c r="L28" i="25" s="1"/>
  <c r="M28" i="25" s="1"/>
  <c r="M28" i="17"/>
  <c r="D28" i="24"/>
  <c r="G12" i="23"/>
  <c r="R12" i="23"/>
  <c r="T12" i="23" s="1"/>
  <c r="V12" i="23" s="1"/>
  <c r="Y12" i="23" s="1"/>
  <c r="J12" i="23" s="1"/>
  <c r="M29" i="25"/>
  <c r="G27" i="24"/>
  <c r="R27" i="24"/>
  <c r="T27" i="24" s="1"/>
  <c r="V27" i="24" s="1"/>
  <c r="Y27" i="24" s="1"/>
  <c r="J27" i="24" s="1"/>
  <c r="L27" i="24" s="1"/>
  <c r="R27" i="25"/>
  <c r="T27" i="25" s="1"/>
  <c r="V27" i="25" s="1"/>
  <c r="Y27" i="25" s="1"/>
  <c r="J27" i="25" s="1"/>
  <c r="L27" i="25" s="1"/>
  <c r="M27" i="25" s="1"/>
  <c r="G27" i="25"/>
  <c r="G40" i="23"/>
  <c r="R40" i="23"/>
  <c r="T40" i="23" s="1"/>
  <c r="R39" i="23"/>
  <c r="T39" i="23" s="1"/>
  <c r="G39" i="23"/>
  <c r="M27" i="17"/>
  <c r="R17" i="22"/>
  <c r="T17" i="22" s="1"/>
  <c r="V17" i="22" s="1"/>
  <c r="G17" i="22"/>
  <c r="M20" i="18"/>
  <c r="D20" i="22"/>
  <c r="M19" i="18"/>
  <c r="D19" i="22"/>
  <c r="M41" i="16"/>
  <c r="G41" i="20"/>
  <c r="V27" i="16"/>
  <c r="M42" i="16"/>
  <c r="I42" i="20"/>
  <c r="L42" i="20" s="1"/>
  <c r="M40" i="16"/>
  <c r="I40" i="20"/>
  <c r="M39" i="16"/>
  <c r="I39" i="20"/>
  <c r="R13" i="16"/>
  <c r="T13" i="16" s="1"/>
  <c r="V13" i="16" s="1"/>
  <c r="Y13" i="16" s="1"/>
  <c r="J13" i="16" s="1"/>
  <c r="L13" i="16" s="1"/>
  <c r="M13" i="16" s="1"/>
  <c r="V28" i="16"/>
  <c r="R35" i="16"/>
  <c r="T35" i="16" s="1"/>
  <c r="M15" i="20"/>
  <c r="G31" i="16"/>
  <c r="R46" i="16"/>
  <c r="T46" i="16" s="1"/>
  <c r="V46" i="16" s="1"/>
  <c r="Y46" i="16" s="1"/>
  <c r="J46" i="16" s="1"/>
  <c r="L46" i="16" s="1"/>
  <c r="G46" i="16"/>
  <c r="D46" i="20" s="1"/>
  <c r="G46" i="20" s="1"/>
  <c r="D46" i="23" s="1"/>
  <c r="Y12" i="20"/>
  <c r="R13" i="20"/>
  <c r="T13" i="20" s="1"/>
  <c r="V13" i="20" s="1"/>
  <c r="Y13" i="20" s="1"/>
  <c r="J13" i="20" s="1"/>
  <c r="L13" i="20" s="1"/>
  <c r="I13" i="23" s="1"/>
  <c r="G13" i="20"/>
  <c r="D13" i="23" s="1"/>
  <c r="G43" i="16"/>
  <c r="D43" i="20" s="1"/>
  <c r="G43" i="20" s="1"/>
  <c r="D43" i="23" s="1"/>
  <c r="R43" i="16"/>
  <c r="T43" i="16" s="1"/>
  <c r="V43" i="16" s="1"/>
  <c r="Y43" i="16" s="1"/>
  <c r="J43" i="16" s="1"/>
  <c r="L43" i="16" s="1"/>
  <c r="I43" i="20" s="1"/>
  <c r="R45" i="16"/>
  <c r="T45" i="16" s="1"/>
  <c r="V45" i="16" s="1"/>
  <c r="Y45" i="16" s="1"/>
  <c r="J45" i="16" s="1"/>
  <c r="L45" i="16" s="1"/>
  <c r="I45" i="20" s="1"/>
  <c r="G45" i="16"/>
  <c r="D45" i="20" s="1"/>
  <c r="R45" i="20" s="1"/>
  <c r="T45" i="20" s="1"/>
  <c r="V45" i="20" s="1"/>
  <c r="Y45" i="20" s="1"/>
  <c r="J45" i="20" s="1"/>
  <c r="J12" i="16"/>
  <c r="V17" i="16"/>
  <c r="L46" i="11"/>
  <c r="I12" i="8"/>
  <c r="M12" i="11"/>
  <c r="M46" i="11" s="1"/>
  <c r="M49" i="11" s="1"/>
  <c r="L40" i="20" l="1"/>
  <c r="G28" i="24"/>
  <c r="R28" i="24"/>
  <c r="T28" i="24" s="1"/>
  <c r="V28" i="24" s="1"/>
  <c r="Y28" i="24" s="1"/>
  <c r="J28" i="24" s="1"/>
  <c r="L28" i="24" s="1"/>
  <c r="G43" i="23"/>
  <c r="R43" i="23"/>
  <c r="T43" i="23" s="1"/>
  <c r="M42" i="20"/>
  <c r="I42" i="23"/>
  <c r="L42" i="23" s="1"/>
  <c r="M42" i="23" s="1"/>
  <c r="G29" i="24"/>
  <c r="R29" i="24"/>
  <c r="T29" i="24" s="1"/>
  <c r="V29" i="24" s="1"/>
  <c r="Y29" i="24" s="1"/>
  <c r="J29" i="24" s="1"/>
  <c r="L29" i="24" s="1"/>
  <c r="M41" i="20"/>
  <c r="D41" i="23"/>
  <c r="M27" i="24"/>
  <c r="V15" i="23"/>
  <c r="Y15" i="23" s="1"/>
  <c r="J15" i="23" s="1"/>
  <c r="L15" i="23" s="1"/>
  <c r="M15" i="23" s="1"/>
  <c r="R13" i="23"/>
  <c r="T13" i="23" s="1"/>
  <c r="G13" i="23"/>
  <c r="L39" i="20"/>
  <c r="M39" i="20" s="1"/>
  <c r="R46" i="23"/>
  <c r="T46" i="23" s="1"/>
  <c r="G46" i="23"/>
  <c r="M17" i="22"/>
  <c r="D17" i="25"/>
  <c r="V39" i="23"/>
  <c r="Y39" i="23" s="1"/>
  <c r="J39" i="23" s="1"/>
  <c r="V40" i="23"/>
  <c r="Y40" i="23" s="1"/>
  <c r="J40" i="23" s="1"/>
  <c r="M40" i="20"/>
  <c r="I40" i="23"/>
  <c r="G19" i="22"/>
  <c r="R19" i="22"/>
  <c r="T19" i="22" s="1"/>
  <c r="G20" i="22"/>
  <c r="R20" i="22"/>
  <c r="T20" i="22" s="1"/>
  <c r="L45" i="20"/>
  <c r="I45" i="23" s="1"/>
  <c r="G45" i="20"/>
  <c r="D45" i="23" s="1"/>
  <c r="R46" i="20"/>
  <c r="T46" i="20" s="1"/>
  <c r="V46" i="20" s="1"/>
  <c r="Y46" i="20" s="1"/>
  <c r="J46" i="20" s="1"/>
  <c r="L46" i="20" s="1"/>
  <c r="R43" i="20"/>
  <c r="T43" i="20" s="1"/>
  <c r="M13" i="20"/>
  <c r="M31" i="16"/>
  <c r="D31" i="20"/>
  <c r="J12" i="20"/>
  <c r="M46" i="16"/>
  <c r="V17" i="20"/>
  <c r="M43" i="16"/>
  <c r="M45" i="16"/>
  <c r="L49" i="11"/>
  <c r="I47" i="8"/>
  <c r="L12" i="8"/>
  <c r="V20" i="22" l="1"/>
  <c r="Y20" i="22" s="1"/>
  <c r="V19" i="20"/>
  <c r="V19" i="22"/>
  <c r="Y19" i="22" s="1"/>
  <c r="M29" i="24"/>
  <c r="V43" i="20"/>
  <c r="Y43" i="20" s="1"/>
  <c r="J43" i="20" s="1"/>
  <c r="L43" i="20" s="1"/>
  <c r="V46" i="23"/>
  <c r="Y46" i="23" s="1"/>
  <c r="J46" i="23" s="1"/>
  <c r="V43" i="23"/>
  <c r="Y43" i="23" s="1"/>
  <c r="J43" i="23" s="1"/>
  <c r="G41" i="23"/>
  <c r="R41" i="23"/>
  <c r="T41" i="23" s="1"/>
  <c r="R45" i="23"/>
  <c r="T45" i="23" s="1"/>
  <c r="V45" i="23" s="1"/>
  <c r="Y45" i="23" s="1"/>
  <c r="J45" i="23" s="1"/>
  <c r="L45" i="23" s="1"/>
  <c r="G45" i="23"/>
  <c r="L40" i="23"/>
  <c r="M40" i="23" s="1"/>
  <c r="I39" i="23"/>
  <c r="L39" i="23" s="1"/>
  <c r="V13" i="23"/>
  <c r="Y13" i="23" s="1"/>
  <c r="J13" i="23" s="1"/>
  <c r="L13" i="23" s="1"/>
  <c r="M13" i="23" s="1"/>
  <c r="M28" i="24"/>
  <c r="M46" i="20"/>
  <c r="I46" i="23"/>
  <c r="D20" i="25"/>
  <c r="R17" i="25"/>
  <c r="T17" i="25" s="1"/>
  <c r="V17" i="25" s="1"/>
  <c r="Y17" i="25" s="1"/>
  <c r="J17" i="25" s="1"/>
  <c r="L17" i="25" s="1"/>
  <c r="G17" i="25"/>
  <c r="D19" i="25"/>
  <c r="M45" i="20"/>
  <c r="R31" i="20"/>
  <c r="T31" i="20" s="1"/>
  <c r="G31" i="20"/>
  <c r="D31" i="23" s="1"/>
  <c r="I12" i="16"/>
  <c r="L12" i="16" s="1"/>
  <c r="M12" i="16" s="1"/>
  <c r="I12" i="20"/>
  <c r="L12" i="20" s="1"/>
  <c r="M12" i="8"/>
  <c r="I12" i="13"/>
  <c r="L12" i="13" s="1"/>
  <c r="M12" i="13" s="1"/>
  <c r="I50" i="8"/>
  <c r="J19" i="22" l="1"/>
  <c r="L19" i="22" s="1"/>
  <c r="Y19" i="20"/>
  <c r="J19" i="20" s="1"/>
  <c r="L19" i="20" s="1"/>
  <c r="I19" i="23" s="1"/>
  <c r="J20" i="22"/>
  <c r="L20" i="22" s="1"/>
  <c r="Y20" i="20"/>
  <c r="J20" i="20" s="1"/>
  <c r="L20" i="20" s="1"/>
  <c r="I20" i="23" s="1"/>
  <c r="V20" i="20"/>
  <c r="M43" i="20"/>
  <c r="I43" i="23"/>
  <c r="L43" i="23"/>
  <c r="M43" i="23" s="1"/>
  <c r="V31" i="20"/>
  <c r="Y31" i="20" s="1"/>
  <c r="J31" i="20" s="1"/>
  <c r="L31" i="20" s="1"/>
  <c r="L46" i="23"/>
  <c r="M46" i="23" s="1"/>
  <c r="M45" i="23"/>
  <c r="M39" i="23"/>
  <c r="M17" i="25"/>
  <c r="M12" i="20"/>
  <c r="I12" i="23"/>
  <c r="L12" i="23" s="1"/>
  <c r="M12" i="23" s="1"/>
  <c r="V41" i="23"/>
  <c r="Y41" i="23" s="1"/>
  <c r="J41" i="23" s="1"/>
  <c r="L41" i="23" s="1"/>
  <c r="M41" i="23" s="1"/>
  <c r="G19" i="25"/>
  <c r="R19" i="25"/>
  <c r="T19" i="25" s="1"/>
  <c r="V19" i="25" s="1"/>
  <c r="Y19" i="25" s="1"/>
  <c r="J19" i="25" s="1"/>
  <c r="R20" i="25"/>
  <c r="T20" i="25" s="1"/>
  <c r="V20" i="25" s="1"/>
  <c r="Y20" i="25" s="1"/>
  <c r="J20" i="25" s="1"/>
  <c r="G20" i="25"/>
  <c r="G31" i="23"/>
  <c r="R31" i="23"/>
  <c r="T31" i="23" s="1"/>
  <c r="E49" i="11"/>
  <c r="I20" i="25" l="1"/>
  <c r="L20" i="25" s="1"/>
  <c r="M20" i="25" s="1"/>
  <c r="M20" i="22"/>
  <c r="I19" i="25"/>
  <c r="L19" i="25" s="1"/>
  <c r="M19" i="25" s="1"/>
  <c r="M19" i="22"/>
  <c r="I31" i="23"/>
  <c r="M31" i="20"/>
  <c r="V31" i="23"/>
  <c r="Y31" i="23" s="1"/>
  <c r="J31" i="23" s="1"/>
  <c r="L31" i="23" s="1"/>
  <c r="M31" i="23" s="1"/>
  <c r="G47" i="11"/>
  <c r="G49" i="11" s="1"/>
  <c r="D49" i="11"/>
  <c r="G49" i="8" l="1"/>
  <c r="D49" i="20" l="1"/>
  <c r="G49" i="20" s="1"/>
  <c r="D49" i="16"/>
  <c r="G49" i="16" s="1"/>
  <c r="D49" i="13"/>
  <c r="G49" i="13" l="1"/>
  <c r="P111" i="12" l="1"/>
  <c r="P18" i="12" s="1"/>
  <c r="T111" i="12" l="1"/>
  <c r="T18" i="12" s="1"/>
  <c r="S111" i="12"/>
  <c r="S18" i="12" s="1"/>
  <c r="O111" i="12"/>
  <c r="O18" i="12" s="1"/>
  <c r="Q111" i="12"/>
  <c r="Q18" i="12" s="1"/>
  <c r="N111" i="12"/>
  <c r="N18" i="12" s="1"/>
  <c r="K111" i="12"/>
  <c r="K113" i="12"/>
  <c r="M111" i="12"/>
  <c r="M18" i="12" s="1"/>
  <c r="W106" i="12"/>
  <c r="K114" i="12"/>
  <c r="L98" i="12" s="1"/>
  <c r="R111" i="12"/>
  <c r="R18" i="12" s="1"/>
  <c r="L111" i="12"/>
  <c r="L18" i="12" s="1"/>
  <c r="U111" i="12"/>
  <c r="U18" i="12" s="1"/>
  <c r="K18" i="12" l="1"/>
  <c r="K19" i="12" s="1"/>
  <c r="W111" i="12"/>
  <c r="L97" i="12"/>
  <c r="L187" i="12"/>
  <c r="L114" i="12"/>
  <c r="M98" i="12" s="1"/>
  <c r="W105" i="12"/>
  <c r="K115" i="12"/>
  <c r="L99" i="12" s="1"/>
  <c r="W107" i="12"/>
  <c r="V111" i="12"/>
  <c r="K119" i="12" l="1"/>
  <c r="M187" i="12"/>
  <c r="M114" i="12"/>
  <c r="N98" i="12" s="1"/>
  <c r="L186" i="12"/>
  <c r="L113" i="12"/>
  <c r="L103" i="12"/>
  <c r="L188" i="12"/>
  <c r="L115" i="12"/>
  <c r="M99" i="12" s="1"/>
  <c r="L17" i="12"/>
  <c r="K20" i="12"/>
  <c r="L192" i="12" l="1"/>
  <c r="L19" i="12"/>
  <c r="M17" i="12" s="1"/>
  <c r="L20" i="12"/>
  <c r="M188" i="12"/>
  <c r="M115" i="12"/>
  <c r="N99" i="12" s="1"/>
  <c r="N187" i="12"/>
  <c r="N114" i="12"/>
  <c r="O98" i="12" s="1"/>
  <c r="L119" i="12"/>
  <c r="M97" i="12"/>
  <c r="N188" i="12" l="1"/>
  <c r="N115" i="12"/>
  <c r="O99" i="12" s="1"/>
  <c r="O187" i="12"/>
  <c r="O114" i="12"/>
  <c r="P98" i="12" s="1"/>
  <c r="M19" i="12"/>
  <c r="N17" i="12" s="1"/>
  <c r="M113" i="12"/>
  <c r="M186" i="12"/>
  <c r="M103" i="12"/>
  <c r="L36" i="12"/>
  <c r="M20" i="12" l="1"/>
  <c r="O188" i="12"/>
  <c r="O115" i="12"/>
  <c r="P99" i="12" s="1"/>
  <c r="P187" i="12"/>
  <c r="P114" i="12"/>
  <c r="Q98" i="12" s="1"/>
  <c r="N97" i="12"/>
  <c r="M119" i="12"/>
  <c r="N19" i="12"/>
  <c r="O17" i="12" s="1"/>
  <c r="M192" i="12"/>
  <c r="N20" i="12" l="1"/>
  <c r="N186" i="12"/>
  <c r="N113" i="12"/>
  <c r="N103" i="12"/>
  <c r="P188" i="12"/>
  <c r="P115" i="12"/>
  <c r="Q99" i="12" s="1"/>
  <c r="Q114" i="12"/>
  <c r="R98" i="12" s="1"/>
  <c r="Q187" i="12"/>
  <c r="M36" i="12"/>
  <c r="O19" i="12"/>
  <c r="P17" i="12" s="1"/>
  <c r="O20" i="12" l="1"/>
  <c r="N119" i="12"/>
  <c r="O97" i="12"/>
  <c r="Q115" i="12"/>
  <c r="R99" i="12" s="1"/>
  <c r="Q188" i="12"/>
  <c r="N192" i="12"/>
  <c r="R187" i="12"/>
  <c r="R114" i="12"/>
  <c r="S98" i="12" s="1"/>
  <c r="P19" i="12"/>
  <c r="Q17" i="12" s="1"/>
  <c r="P20" i="12" l="1"/>
  <c r="N36" i="12"/>
  <c r="O186" i="12"/>
  <c r="O103" i="12"/>
  <c r="O113" i="12"/>
  <c r="Q19" i="12"/>
  <c r="R17" i="12" s="1"/>
  <c r="S187" i="12"/>
  <c r="S114" i="12"/>
  <c r="T98" i="12" s="1"/>
  <c r="R115" i="12"/>
  <c r="S99" i="12" s="1"/>
  <c r="R188" i="12"/>
  <c r="Q20" i="12" l="1"/>
  <c r="T187" i="12"/>
  <c r="T114" i="12"/>
  <c r="U98" i="12" s="1"/>
  <c r="O119" i="12"/>
  <c r="P97" i="12"/>
  <c r="R19" i="12"/>
  <c r="S17" i="12" s="1"/>
  <c r="S188" i="12"/>
  <c r="S115" i="12"/>
  <c r="T99" i="12" s="1"/>
  <c r="O192" i="12"/>
  <c r="P113" i="12" l="1"/>
  <c r="P103" i="12"/>
  <c r="P186" i="12"/>
  <c r="S19" i="12"/>
  <c r="T17" i="12" s="1"/>
  <c r="S20" i="12"/>
  <c r="U187" i="12"/>
  <c r="U114" i="12"/>
  <c r="V114" i="12" s="1"/>
  <c r="V98" i="12"/>
  <c r="O36" i="12"/>
  <c r="T115" i="12"/>
  <c r="U99" i="12" s="1"/>
  <c r="T188" i="12"/>
  <c r="R20" i="12"/>
  <c r="V187" i="12" l="1"/>
  <c r="W187" i="12"/>
  <c r="T19" i="12"/>
  <c r="U17" i="12" s="1"/>
  <c r="P192" i="12"/>
  <c r="U188" i="12"/>
  <c r="U115" i="12"/>
  <c r="V115" i="12" s="1"/>
  <c r="V99" i="12"/>
  <c r="Q97" i="12"/>
  <c r="P119" i="12"/>
  <c r="T20" i="12" l="1"/>
  <c r="V188" i="12"/>
  <c r="W188" i="12"/>
  <c r="Q186" i="12"/>
  <c r="Q192" i="12" s="1"/>
  <c r="Q36" i="12" s="1"/>
  <c r="Q103" i="12"/>
  <c r="Q113" i="12"/>
  <c r="U19" i="12"/>
  <c r="E14" i="12" s="1"/>
  <c r="P36" i="12"/>
  <c r="U20" i="12" l="1"/>
  <c r="V20" i="12" s="1"/>
  <c r="E40" i="12" s="1"/>
  <c r="R97" i="12"/>
  <c r="Q119" i="12"/>
  <c r="R103" i="12" l="1"/>
  <c r="R186" i="12"/>
  <c r="R192" i="12" s="1"/>
  <c r="R36" i="12" s="1"/>
  <c r="R113" i="12"/>
  <c r="S97" i="12" l="1"/>
  <c r="R119" i="12"/>
  <c r="S186" i="12" l="1"/>
  <c r="S192" i="12" s="1"/>
  <c r="S36" i="12" s="1"/>
  <c r="S103" i="12"/>
  <c r="S113" i="12"/>
  <c r="S119" i="12" l="1"/>
  <c r="T97" i="12"/>
  <c r="T113" i="12" l="1"/>
  <c r="T186" i="12"/>
  <c r="T192" i="12" s="1"/>
  <c r="T36" i="12" s="1"/>
  <c r="T103" i="12"/>
  <c r="U97" i="12" l="1"/>
  <c r="T119" i="12"/>
  <c r="U186" i="12" l="1"/>
  <c r="U113" i="12"/>
  <c r="U103" i="12"/>
  <c r="V97" i="12"/>
  <c r="V103" i="12" s="1"/>
  <c r="U119" i="12" l="1"/>
  <c r="V113" i="12"/>
  <c r="V119" i="12" s="1"/>
  <c r="U192" i="12"/>
  <c r="V186" i="12"/>
  <c r="V192" i="12" s="1"/>
  <c r="W186" i="12"/>
  <c r="U36" i="12" l="1"/>
  <c r="W192" i="12"/>
  <c r="W36" i="12" l="1"/>
  <c r="V84" i="12" l="1"/>
  <c r="V81" i="12"/>
  <c r="V83" i="12"/>
  <c r="V82" i="12"/>
  <c r="V80" i="12"/>
  <c r="V79" i="12"/>
  <c r="V85" i="12" l="1"/>
  <c r="J92" i="12" l="1"/>
  <c r="J165" i="12"/>
  <c r="J26" i="10"/>
  <c r="L26" i="10" s="1"/>
  <c r="I26" i="15" l="1"/>
  <c r="K76" i="12"/>
  <c r="J65" i="12"/>
  <c r="K49" i="12" s="1"/>
  <c r="J138" i="12"/>
  <c r="J23" i="10" l="1"/>
  <c r="L23" i="10" s="1"/>
  <c r="J89" i="12"/>
  <c r="J162" i="12"/>
  <c r="K165" i="12"/>
  <c r="K92" i="12"/>
  <c r="J63" i="12"/>
  <c r="K47" i="12" s="1"/>
  <c r="J136" i="12"/>
  <c r="K65" i="12"/>
  <c r="L49" i="12" s="1"/>
  <c r="K138" i="12"/>
  <c r="K73" i="12" l="1"/>
  <c r="Y25" i="8"/>
  <c r="J25" i="8" s="1"/>
  <c r="L25" i="8" s="1"/>
  <c r="J25" i="10"/>
  <c r="L25" i="10" s="1"/>
  <c r="J164" i="12"/>
  <c r="J91" i="12"/>
  <c r="L76" i="12"/>
  <c r="I23" i="15"/>
  <c r="L138" i="12"/>
  <c r="L65" i="12"/>
  <c r="M49" i="12" s="1"/>
  <c r="K63" i="12"/>
  <c r="L47" i="12" s="1"/>
  <c r="K136" i="12"/>
  <c r="I25" i="15" l="1"/>
  <c r="L165" i="12"/>
  <c r="L92" i="12"/>
  <c r="K75" i="12"/>
  <c r="K162" i="12"/>
  <c r="K89" i="12"/>
  <c r="I25" i="13"/>
  <c r="L136" i="12"/>
  <c r="L63" i="12"/>
  <c r="M47" i="12" s="1"/>
  <c r="M65" i="12"/>
  <c r="N49" i="12" s="1"/>
  <c r="M138" i="12"/>
  <c r="J64" i="12"/>
  <c r="K48" i="12" s="1"/>
  <c r="J137" i="12"/>
  <c r="J135" i="12"/>
  <c r="J62" i="12"/>
  <c r="K46" i="12" s="1"/>
  <c r="J66" i="12"/>
  <c r="K50" i="12" s="1"/>
  <c r="J139" i="12"/>
  <c r="K91" i="12" l="1"/>
  <c r="K164" i="12"/>
  <c r="J24" i="10"/>
  <c r="L24" i="10" s="1"/>
  <c r="M76" i="12"/>
  <c r="L73" i="12"/>
  <c r="J90" i="12"/>
  <c r="J163" i="12"/>
  <c r="K139" i="12"/>
  <c r="K66" i="12"/>
  <c r="L50" i="12" s="1"/>
  <c r="N138" i="12"/>
  <c r="N65" i="12"/>
  <c r="O49" i="12" s="1"/>
  <c r="K135" i="12"/>
  <c r="K62" i="12"/>
  <c r="L46" i="12" s="1"/>
  <c r="M136" i="12"/>
  <c r="M63" i="12"/>
  <c r="N47" i="12" s="1"/>
  <c r="K137" i="12"/>
  <c r="K64" i="12"/>
  <c r="L48" i="12" s="1"/>
  <c r="L89" i="12" l="1"/>
  <c r="L162" i="12"/>
  <c r="M165" i="12"/>
  <c r="M92" i="12"/>
  <c r="I24" i="15"/>
  <c r="K74" i="12"/>
  <c r="L75" i="12"/>
  <c r="N63" i="12"/>
  <c r="O47" i="12" s="1"/>
  <c r="N136" i="12"/>
  <c r="O138" i="12"/>
  <c r="O65" i="12"/>
  <c r="P49" i="12" s="1"/>
  <c r="L64" i="12"/>
  <c r="M48" i="12" s="1"/>
  <c r="L137" i="12"/>
  <c r="L139" i="12"/>
  <c r="L66" i="12"/>
  <c r="M50" i="12" s="1"/>
  <c r="L135" i="12"/>
  <c r="L62" i="12"/>
  <c r="M46" i="12" s="1"/>
  <c r="K163" i="12" l="1"/>
  <c r="K90" i="12"/>
  <c r="N76" i="12"/>
  <c r="L91" i="12"/>
  <c r="L164" i="12"/>
  <c r="M73" i="12"/>
  <c r="P138" i="12"/>
  <c r="P65" i="12"/>
  <c r="Q49" i="12" s="1"/>
  <c r="M135" i="12"/>
  <c r="M62" i="12"/>
  <c r="N46" i="12" s="1"/>
  <c r="O63" i="12"/>
  <c r="P47" i="12" s="1"/>
  <c r="O136" i="12"/>
  <c r="M64" i="12"/>
  <c r="N48" i="12" s="1"/>
  <c r="M137" i="12"/>
  <c r="M139" i="12"/>
  <c r="M66" i="12"/>
  <c r="N50" i="12" s="1"/>
  <c r="M89" i="12" l="1"/>
  <c r="M162" i="12"/>
  <c r="L74" i="12"/>
  <c r="M75" i="12"/>
  <c r="N92" i="12"/>
  <c r="N165" i="12"/>
  <c r="J87" i="12"/>
  <c r="J160" i="12"/>
  <c r="J21" i="10"/>
  <c r="N62" i="12"/>
  <c r="O46" i="12" s="1"/>
  <c r="N135" i="12"/>
  <c r="P136" i="12"/>
  <c r="P63" i="12"/>
  <c r="Q47" i="12" s="1"/>
  <c r="Q138" i="12"/>
  <c r="Q65" i="12"/>
  <c r="R49" i="12" s="1"/>
  <c r="N66" i="12"/>
  <c r="O50" i="12" s="1"/>
  <c r="N139" i="12"/>
  <c r="N64" i="12"/>
  <c r="O48" i="12" s="1"/>
  <c r="N137" i="12"/>
  <c r="L21" i="10" l="1"/>
  <c r="L163" i="12"/>
  <c r="L90" i="12"/>
  <c r="M164" i="12"/>
  <c r="M91" i="12"/>
  <c r="V46" i="10"/>
  <c r="O76" i="12"/>
  <c r="K71" i="12"/>
  <c r="N73" i="12"/>
  <c r="O139" i="12"/>
  <c r="O66" i="12"/>
  <c r="P50" i="12" s="1"/>
  <c r="O135" i="12"/>
  <c r="O62" i="12"/>
  <c r="P46" i="12" s="1"/>
  <c r="Q136" i="12"/>
  <c r="Q63" i="12"/>
  <c r="R47" i="12" s="1"/>
  <c r="R65" i="12"/>
  <c r="S49" i="12" s="1"/>
  <c r="R138" i="12"/>
  <c r="O64" i="12"/>
  <c r="P48" i="12" s="1"/>
  <c r="O137" i="12"/>
  <c r="K160" i="12" l="1"/>
  <c r="K87" i="12"/>
  <c r="M74" i="12"/>
  <c r="J88" i="12"/>
  <c r="J161" i="12"/>
  <c r="J77" i="12"/>
  <c r="J12" i="12" s="1"/>
  <c r="O92" i="12"/>
  <c r="P76" i="12" s="1"/>
  <c r="O165" i="12"/>
  <c r="N75" i="12"/>
  <c r="N162" i="12"/>
  <c r="N89" i="12"/>
  <c r="J22" i="10"/>
  <c r="Y46" i="10"/>
  <c r="I21" i="15"/>
  <c r="P135" i="12"/>
  <c r="P62" i="12"/>
  <c r="Q46" i="12" s="1"/>
  <c r="P137" i="12"/>
  <c r="P64" i="12"/>
  <c r="Q48" i="12" s="1"/>
  <c r="P66" i="12"/>
  <c r="Q50" i="12" s="1"/>
  <c r="P139" i="12"/>
  <c r="R63" i="12"/>
  <c r="S47" i="12" s="1"/>
  <c r="R136" i="12"/>
  <c r="S138" i="12"/>
  <c r="S65" i="12"/>
  <c r="T49" i="12" s="1"/>
  <c r="L22" i="10" l="1"/>
  <c r="J46" i="10"/>
  <c r="J49" i="10" s="1"/>
  <c r="J51" i="10" s="1"/>
  <c r="J59" i="10" s="1"/>
  <c r="P165" i="12"/>
  <c r="P92" i="12"/>
  <c r="Q76" i="12" s="1"/>
  <c r="M163" i="12"/>
  <c r="M90" i="12"/>
  <c r="J14" i="12"/>
  <c r="K12" i="12" s="1"/>
  <c r="N164" i="12"/>
  <c r="N91" i="12"/>
  <c r="O73" i="12"/>
  <c r="J166" i="12"/>
  <c r="L71" i="12"/>
  <c r="K72" i="12"/>
  <c r="J93" i="12"/>
  <c r="T138" i="12"/>
  <c r="T65" i="12"/>
  <c r="U49" i="12" s="1"/>
  <c r="Q64" i="12"/>
  <c r="R48" i="12" s="1"/>
  <c r="Q137" i="12"/>
  <c r="J134" i="12"/>
  <c r="J51" i="12"/>
  <c r="J7" i="12" s="1"/>
  <c r="J9" i="12" s="1"/>
  <c r="J61" i="12"/>
  <c r="Q139" i="12"/>
  <c r="Q66" i="12"/>
  <c r="R50" i="12" s="1"/>
  <c r="Q62" i="12"/>
  <c r="R46" i="12" s="1"/>
  <c r="Q135" i="12"/>
  <c r="S136" i="12"/>
  <c r="S63" i="12"/>
  <c r="T47" i="12" s="1"/>
  <c r="J15" i="12" l="1"/>
  <c r="K14" i="12"/>
  <c r="L12" i="12" s="1"/>
  <c r="I22" i="15"/>
  <c r="I46" i="15" s="1"/>
  <c r="I49" i="15" s="1"/>
  <c r="L46" i="10"/>
  <c r="L49" i="10" s="1"/>
  <c r="K88" i="12"/>
  <c r="K161" i="12"/>
  <c r="K77" i="12"/>
  <c r="N74" i="12"/>
  <c r="O89" i="12"/>
  <c r="P73" i="12" s="1"/>
  <c r="O162" i="12"/>
  <c r="L87" i="12"/>
  <c r="L160" i="12"/>
  <c r="Q92" i="12"/>
  <c r="R76" i="12" s="1"/>
  <c r="Q165" i="12"/>
  <c r="J31" i="12"/>
  <c r="O75" i="12"/>
  <c r="J140" i="12"/>
  <c r="T136" i="12"/>
  <c r="T63" i="12"/>
  <c r="U47" i="12" s="1"/>
  <c r="R135" i="12"/>
  <c r="R62" i="12"/>
  <c r="S46" i="12" s="1"/>
  <c r="J67" i="12"/>
  <c r="K45" i="12"/>
  <c r="J10" i="12"/>
  <c r="K7" i="12"/>
  <c r="R139" i="12"/>
  <c r="R66" i="12"/>
  <c r="S50" i="12" s="1"/>
  <c r="R137" i="12"/>
  <c r="R64" i="12"/>
  <c r="S48" i="12" s="1"/>
  <c r="U138" i="12"/>
  <c r="C11" i="12"/>
  <c r="U65" i="12"/>
  <c r="V65" i="12" s="1"/>
  <c r="V49" i="12"/>
  <c r="K15" i="12" l="1"/>
  <c r="O91" i="12"/>
  <c r="P75" i="12" s="1"/>
  <c r="O164" i="12"/>
  <c r="N90" i="12"/>
  <c r="N163" i="12"/>
  <c r="R165" i="12"/>
  <c r="R92" i="12"/>
  <c r="S76" i="12" s="1"/>
  <c r="L14" i="12"/>
  <c r="M12" i="12" s="1"/>
  <c r="M71" i="12"/>
  <c r="P162" i="12"/>
  <c r="P89" i="12"/>
  <c r="Q73" i="12" s="1"/>
  <c r="K166" i="12"/>
  <c r="L72" i="12"/>
  <c r="K93" i="12"/>
  <c r="S62" i="12"/>
  <c r="T46" i="12" s="1"/>
  <c r="S135" i="12"/>
  <c r="S139" i="12"/>
  <c r="S66" i="12"/>
  <c r="T50" i="12" s="1"/>
  <c r="C9" i="12"/>
  <c r="U136" i="12"/>
  <c r="U63" i="12"/>
  <c r="V63" i="12" s="1"/>
  <c r="V47" i="12"/>
  <c r="K9" i="12"/>
  <c r="L7" i="12" s="1"/>
  <c r="K10" i="12"/>
  <c r="W138" i="12"/>
  <c r="V138" i="12"/>
  <c r="S137" i="12"/>
  <c r="S64" i="12"/>
  <c r="T48" i="12" s="1"/>
  <c r="K61" i="12"/>
  <c r="K134" i="12"/>
  <c r="K51" i="12"/>
  <c r="J26" i="12"/>
  <c r="Q162" i="12" l="1"/>
  <c r="Q89" i="12"/>
  <c r="R73" i="12" s="1"/>
  <c r="L88" i="12"/>
  <c r="L161" i="12"/>
  <c r="L77" i="12"/>
  <c r="O74" i="12"/>
  <c r="M160" i="12"/>
  <c r="M87" i="12"/>
  <c r="L15" i="12"/>
  <c r="P164" i="12"/>
  <c r="P91" i="12"/>
  <c r="Q75" i="12" s="1"/>
  <c r="K31" i="12"/>
  <c r="M14" i="12"/>
  <c r="N12" i="12" s="1"/>
  <c r="M15" i="12"/>
  <c r="S92" i="12"/>
  <c r="T76" i="12" s="1"/>
  <c r="S165" i="12"/>
  <c r="W136" i="12"/>
  <c r="V136" i="12"/>
  <c r="T137" i="12"/>
  <c r="T64" i="12"/>
  <c r="U48" i="12" s="1"/>
  <c r="K140" i="12"/>
  <c r="T139" i="12"/>
  <c r="T66" i="12"/>
  <c r="U50" i="12" s="1"/>
  <c r="K67" i="12"/>
  <c r="L45" i="12"/>
  <c r="L9" i="12"/>
  <c r="M7" i="12" s="1"/>
  <c r="T62" i="12"/>
  <c r="U46" i="12" s="1"/>
  <c r="T135" i="12"/>
  <c r="R162" i="12" l="1"/>
  <c r="R89" i="12"/>
  <c r="S73" i="12" s="1"/>
  <c r="Q164" i="12"/>
  <c r="Q91" i="12"/>
  <c r="R75" i="12" s="1"/>
  <c r="O163" i="12"/>
  <c r="O90" i="12"/>
  <c r="P74" i="12" s="1"/>
  <c r="T165" i="12"/>
  <c r="T92" i="12"/>
  <c r="U76" i="12" s="1"/>
  <c r="L166" i="12"/>
  <c r="N14" i="12"/>
  <c r="O12" i="12" s="1"/>
  <c r="M72" i="12"/>
  <c r="L93" i="12"/>
  <c r="N71" i="12"/>
  <c r="L10" i="12"/>
  <c r="M9" i="12"/>
  <c r="N7" i="12" s="1"/>
  <c r="M10" i="12"/>
  <c r="U137" i="12"/>
  <c r="U64" i="12"/>
  <c r="V64" i="12" s="1"/>
  <c r="C10" i="12"/>
  <c r="V48" i="12"/>
  <c r="K26" i="12"/>
  <c r="L61" i="12"/>
  <c r="L51" i="12"/>
  <c r="L134" i="12"/>
  <c r="U139" i="12"/>
  <c r="U66" i="12"/>
  <c r="V66" i="12" s="1"/>
  <c r="C12" i="12"/>
  <c r="V50" i="12"/>
  <c r="C8" i="12"/>
  <c r="U62" i="12"/>
  <c r="V62" i="12" s="1"/>
  <c r="U135" i="12"/>
  <c r="V46" i="12"/>
  <c r="P90" i="12" l="1"/>
  <c r="Q74" i="12" s="1"/>
  <c r="P163" i="12"/>
  <c r="R164" i="12"/>
  <c r="R91" i="12"/>
  <c r="S75" i="12" s="1"/>
  <c r="L31" i="12"/>
  <c r="S89" i="12"/>
  <c r="T73" i="12" s="1"/>
  <c r="S162" i="12"/>
  <c r="O14" i="12"/>
  <c r="P12" i="12" s="1"/>
  <c r="M161" i="12"/>
  <c r="M88" i="12"/>
  <c r="M77" i="12"/>
  <c r="U165" i="12"/>
  <c r="U92" i="12"/>
  <c r="V76" i="12"/>
  <c r="N87" i="12"/>
  <c r="N160" i="12"/>
  <c r="N15" i="12"/>
  <c r="V135" i="12"/>
  <c r="W135" i="12"/>
  <c r="M45" i="12"/>
  <c r="L67" i="12"/>
  <c r="N9" i="12"/>
  <c r="O7" i="12" s="1"/>
  <c r="N10" i="12"/>
  <c r="L140" i="12"/>
  <c r="W137" i="12"/>
  <c r="V137" i="12"/>
  <c r="W139" i="12"/>
  <c r="V139" i="12"/>
  <c r="O15" i="12" l="1"/>
  <c r="D12" i="12"/>
  <c r="E12" i="12" s="1"/>
  <c r="V92" i="12"/>
  <c r="P14" i="12"/>
  <c r="Q12" i="12" s="1"/>
  <c r="P15" i="12"/>
  <c r="S164" i="12"/>
  <c r="S91" i="12"/>
  <c r="T75" i="12" s="1"/>
  <c r="T89" i="12"/>
  <c r="U73" i="12" s="1"/>
  <c r="T162" i="12"/>
  <c r="O71" i="12"/>
  <c r="N72" i="12"/>
  <c r="M93" i="12"/>
  <c r="Q90" i="12"/>
  <c r="R74" i="12" s="1"/>
  <c r="Q163" i="12"/>
  <c r="V165" i="12"/>
  <c r="W165" i="12"/>
  <c r="M166" i="12"/>
  <c r="L26" i="12"/>
  <c r="O9" i="12"/>
  <c r="P7" i="12" s="1"/>
  <c r="M134" i="12"/>
  <c r="M61" i="12"/>
  <c r="M51" i="12"/>
  <c r="N88" i="12" l="1"/>
  <c r="N161" i="12"/>
  <c r="N77" i="12"/>
  <c r="U162" i="12"/>
  <c r="U89" i="12"/>
  <c r="V73" i="12"/>
  <c r="M31" i="12"/>
  <c r="T164" i="12"/>
  <c r="T91" i="12"/>
  <c r="U75" i="12" s="1"/>
  <c r="O87" i="12"/>
  <c r="O160" i="12"/>
  <c r="R90" i="12"/>
  <c r="S74" i="12" s="1"/>
  <c r="R163" i="12"/>
  <c r="Q14" i="12"/>
  <c r="R12" i="12" s="1"/>
  <c r="O10" i="12"/>
  <c r="P9" i="12"/>
  <c r="Q7" i="12" s="1"/>
  <c r="M140" i="12"/>
  <c r="M67" i="12"/>
  <c r="N45" i="12"/>
  <c r="Q15" i="12" l="1"/>
  <c r="S163" i="12"/>
  <c r="S90" i="12"/>
  <c r="T74" i="12" s="1"/>
  <c r="U91" i="12"/>
  <c r="U164" i="12"/>
  <c r="V75" i="12"/>
  <c r="D9" i="12"/>
  <c r="E9" i="12" s="1"/>
  <c r="V89" i="12"/>
  <c r="V162" i="12"/>
  <c r="W162" i="12"/>
  <c r="R14" i="12"/>
  <c r="S12" i="12" s="1"/>
  <c r="N166" i="12"/>
  <c r="P71" i="12"/>
  <c r="O72" i="12"/>
  <c r="N93" i="12"/>
  <c r="P10" i="12"/>
  <c r="N134" i="12"/>
  <c r="N61" i="12"/>
  <c r="N51" i="12"/>
  <c r="M26" i="12"/>
  <c r="Q9" i="12"/>
  <c r="R7" i="12" s="1"/>
  <c r="R15" i="12" l="1"/>
  <c r="W164" i="12"/>
  <c r="V164" i="12"/>
  <c r="S14" i="12"/>
  <c r="T12" i="12" s="1"/>
  <c r="O88" i="12"/>
  <c r="O161" i="12"/>
  <c r="O166" i="12" s="1"/>
  <c r="O31" i="12" s="1"/>
  <c r="O77" i="12"/>
  <c r="P160" i="12"/>
  <c r="P87" i="12"/>
  <c r="D11" i="12"/>
  <c r="E11" i="12" s="1"/>
  <c r="V91" i="12"/>
  <c r="N31" i="12"/>
  <c r="T90" i="12"/>
  <c r="U74" i="12" s="1"/>
  <c r="T163" i="12"/>
  <c r="R9" i="12"/>
  <c r="S7" i="12" s="1"/>
  <c r="N140" i="12"/>
  <c r="Q10" i="12"/>
  <c r="O45" i="12"/>
  <c r="N67" i="12"/>
  <c r="S15" i="12" l="1"/>
  <c r="Q71" i="12"/>
  <c r="T14" i="12"/>
  <c r="U12" i="12" s="1"/>
  <c r="U14" i="12" s="1"/>
  <c r="U15" i="12" s="1"/>
  <c r="U90" i="12"/>
  <c r="U163" i="12"/>
  <c r="V74" i="12"/>
  <c r="P72" i="12"/>
  <c r="O93" i="12"/>
  <c r="N26" i="12"/>
  <c r="R10" i="12"/>
  <c r="O134" i="12"/>
  <c r="O140" i="12" s="1"/>
  <c r="O26" i="12" s="1"/>
  <c r="O61" i="12"/>
  <c r="O51" i="12"/>
  <c r="S9" i="12"/>
  <c r="T7" i="12" s="1"/>
  <c r="T15" i="12" l="1"/>
  <c r="V15" i="12" s="1"/>
  <c r="D40" i="12" s="1"/>
  <c r="W163" i="12"/>
  <c r="V163" i="12"/>
  <c r="D10" i="12"/>
  <c r="E10" i="12" s="1"/>
  <c r="V90" i="12"/>
  <c r="P88" i="12"/>
  <c r="P161" i="12"/>
  <c r="P166" i="12" s="1"/>
  <c r="P31" i="12" s="1"/>
  <c r="P77" i="12"/>
  <c r="Q87" i="12"/>
  <c r="Q160" i="12"/>
  <c r="P45" i="12"/>
  <c r="O67" i="12"/>
  <c r="T9" i="12"/>
  <c r="U7" i="12" s="1"/>
  <c r="U9" i="12" s="1"/>
  <c r="U10" i="12" s="1"/>
  <c r="T10" i="12"/>
  <c r="S10" i="12"/>
  <c r="R71" i="12" l="1"/>
  <c r="Q72" i="12"/>
  <c r="P93" i="12"/>
  <c r="V10" i="12"/>
  <c r="C40" i="12" s="1"/>
  <c r="F40" i="12" s="1"/>
  <c r="P134" i="12"/>
  <c r="P140" i="12" s="1"/>
  <c r="P26" i="12" s="1"/>
  <c r="P51" i="12"/>
  <c r="P61" i="12"/>
  <c r="Q88" i="12" l="1"/>
  <c r="Q161" i="12"/>
  <c r="Q166" i="12" s="1"/>
  <c r="Q31" i="12" s="1"/>
  <c r="Q77" i="12"/>
  <c r="R87" i="12"/>
  <c r="R160" i="12"/>
  <c r="P67" i="12"/>
  <c r="Q45" i="12"/>
  <c r="R72" i="12" l="1"/>
  <c r="Q93" i="12"/>
  <c r="S71" i="12"/>
  <c r="Q134" i="12"/>
  <c r="Q140" i="12" s="1"/>
  <c r="Q26" i="12" s="1"/>
  <c r="Q51" i="12"/>
  <c r="Q61" i="12"/>
  <c r="R161" i="12" l="1"/>
  <c r="R166" i="12" s="1"/>
  <c r="R31" i="12" s="1"/>
  <c r="R88" i="12"/>
  <c r="R77" i="12"/>
  <c r="S160" i="12"/>
  <c r="S87" i="12"/>
  <c r="Q67" i="12"/>
  <c r="R45" i="12"/>
  <c r="T71" i="12" l="1"/>
  <c r="S72" i="12"/>
  <c r="R93" i="12"/>
  <c r="R134" i="12"/>
  <c r="R140" i="12" s="1"/>
  <c r="R26" i="12" s="1"/>
  <c r="R51" i="12"/>
  <c r="R61" i="12"/>
  <c r="T160" i="12" l="1"/>
  <c r="T87" i="12"/>
  <c r="S161" i="12"/>
  <c r="S166" i="12" s="1"/>
  <c r="S31" i="12" s="1"/>
  <c r="S88" i="12"/>
  <c r="S77" i="12"/>
  <c r="R67" i="12"/>
  <c r="S45" i="12"/>
  <c r="T72" i="12" l="1"/>
  <c r="S93" i="12"/>
  <c r="U71" i="12"/>
  <c r="S134" i="12"/>
  <c r="S140" i="12" s="1"/>
  <c r="S26" i="12" s="1"/>
  <c r="S51" i="12"/>
  <c r="S61" i="12"/>
  <c r="U87" i="12" l="1"/>
  <c r="U160" i="12"/>
  <c r="V71" i="12"/>
  <c r="T161" i="12"/>
  <c r="T166" i="12" s="1"/>
  <c r="T31" i="12" s="1"/>
  <c r="T88" i="12"/>
  <c r="T77" i="12"/>
  <c r="S67" i="12"/>
  <c r="T45" i="12"/>
  <c r="W160" i="12" l="1"/>
  <c r="V160" i="12"/>
  <c r="D7" i="12"/>
  <c r="V87" i="12"/>
  <c r="U72" i="12"/>
  <c r="T93" i="12"/>
  <c r="T134" i="12"/>
  <c r="T140" i="12" s="1"/>
  <c r="T26" i="12" s="1"/>
  <c r="T51" i="12"/>
  <c r="T61" i="12"/>
  <c r="U88" i="12" l="1"/>
  <c r="U161" i="12"/>
  <c r="V72" i="12"/>
  <c r="V77" i="12" s="1"/>
  <c r="U77" i="12"/>
  <c r="U45" i="12"/>
  <c r="T67" i="12"/>
  <c r="D8" i="12" l="1"/>
  <c r="V88" i="12"/>
  <c r="V93" i="12" s="1"/>
  <c r="U93" i="12"/>
  <c r="W161" i="12"/>
  <c r="V161" i="12"/>
  <c r="V166" i="12" s="1"/>
  <c r="U166" i="12"/>
  <c r="U134" i="12"/>
  <c r="U61" i="12"/>
  <c r="C7" i="12"/>
  <c r="U51" i="12"/>
  <c r="V45" i="12"/>
  <c r="V51" i="12" s="1"/>
  <c r="U31" i="12" l="1"/>
  <c r="W166" i="12"/>
  <c r="E8" i="12"/>
  <c r="D13" i="12"/>
  <c r="C13" i="12"/>
  <c r="E7" i="12"/>
  <c r="E13" i="12" s="1"/>
  <c r="E15" i="12" s="1"/>
  <c r="U67" i="12"/>
  <c r="V61" i="12"/>
  <c r="V67" i="12" s="1"/>
  <c r="U140" i="12"/>
  <c r="V134" i="12"/>
  <c r="V140" i="12" s="1"/>
  <c r="W134" i="12"/>
  <c r="W31" i="12" l="1"/>
  <c r="U26" i="12"/>
  <c r="W140" i="12"/>
  <c r="W26" i="12" l="1"/>
  <c r="U36" i="8" l="1"/>
  <c r="U21" i="10" l="1"/>
  <c r="G21" i="10"/>
  <c r="G23" i="10" l="1"/>
  <c r="U23" i="10"/>
  <c r="G22" i="10"/>
  <c r="U22" i="10"/>
  <c r="U26" i="10"/>
  <c r="G26" i="10"/>
  <c r="E46" i="10"/>
  <c r="E49" i="10" s="1"/>
  <c r="E46" i="9"/>
  <c r="E49" i="9" s="1"/>
  <c r="U22" i="9"/>
  <c r="U23" i="9"/>
  <c r="U25" i="9"/>
  <c r="V25" i="8" s="1"/>
  <c r="D21" i="15"/>
  <c r="M21" i="10"/>
  <c r="U24" i="10"/>
  <c r="G24" i="10"/>
  <c r="G25" i="10"/>
  <c r="U25" i="10"/>
  <c r="U24" i="9"/>
  <c r="U26" i="9"/>
  <c r="D24" i="15" l="1"/>
  <c r="M24" i="10"/>
  <c r="D22" i="14"/>
  <c r="U46" i="10"/>
  <c r="M25" i="9"/>
  <c r="D25" i="14"/>
  <c r="U46" i="9"/>
  <c r="V23" i="8"/>
  <c r="D26" i="15"/>
  <c r="M26" i="10"/>
  <c r="D23" i="14"/>
  <c r="D26" i="14"/>
  <c r="V22" i="8"/>
  <c r="D22" i="15"/>
  <c r="M22" i="10"/>
  <c r="V24" i="8"/>
  <c r="D25" i="15"/>
  <c r="M25" i="10"/>
  <c r="V26" i="8"/>
  <c r="G46" i="10"/>
  <c r="G49" i="10" s="1"/>
  <c r="D21" i="14"/>
  <c r="G46" i="9"/>
  <c r="G49" i="9" s="1"/>
  <c r="D24" i="14"/>
  <c r="R21" i="15"/>
  <c r="D23" i="15"/>
  <c r="M23" i="10"/>
  <c r="D46" i="15" l="1"/>
  <c r="D49" i="15" s="1"/>
  <c r="R25" i="15"/>
  <c r="T25" i="15" s="1"/>
  <c r="J22" i="9"/>
  <c r="L22" i="9" s="1"/>
  <c r="Y22" i="8"/>
  <c r="J22" i="8" s="1"/>
  <c r="L22" i="8" s="1"/>
  <c r="R26" i="15"/>
  <c r="T26" i="15" s="1"/>
  <c r="T21" i="15"/>
  <c r="J26" i="9"/>
  <c r="L26" i="9" s="1"/>
  <c r="Y26" i="8"/>
  <c r="J26" i="8" s="1"/>
  <c r="L26" i="8" s="1"/>
  <c r="G22" i="14"/>
  <c r="R22" i="14"/>
  <c r="T22" i="14" s="1"/>
  <c r="R24" i="15"/>
  <c r="T24" i="15" s="1"/>
  <c r="J24" i="9"/>
  <c r="L24" i="9" s="1"/>
  <c r="Y24" i="8"/>
  <c r="J24" i="8" s="1"/>
  <c r="L24" i="8" s="1"/>
  <c r="V46" i="9"/>
  <c r="V21" i="8"/>
  <c r="R26" i="14"/>
  <c r="T26" i="14" s="1"/>
  <c r="R24" i="14"/>
  <c r="T24" i="14" s="1"/>
  <c r="M46" i="10"/>
  <c r="M49" i="10" s="1"/>
  <c r="R25" i="14"/>
  <c r="T25" i="14" s="1"/>
  <c r="R23" i="15"/>
  <c r="T23" i="15" s="1"/>
  <c r="D46" i="14"/>
  <c r="D49" i="14" s="1"/>
  <c r="G21" i="14"/>
  <c r="R21" i="14"/>
  <c r="R22" i="15"/>
  <c r="T22" i="15" s="1"/>
  <c r="G23" i="14"/>
  <c r="R23" i="14"/>
  <c r="T23" i="14" s="1"/>
  <c r="J23" i="9"/>
  <c r="L23" i="9" s="1"/>
  <c r="Y23" i="8"/>
  <c r="J23" i="8" s="1"/>
  <c r="L23" i="8" s="1"/>
  <c r="R21" i="17" l="1"/>
  <c r="I23" i="13"/>
  <c r="I26" i="13"/>
  <c r="I22" i="13"/>
  <c r="I24" i="13"/>
  <c r="R46" i="15"/>
  <c r="I24" i="14"/>
  <c r="M24" i="9"/>
  <c r="R46" i="14"/>
  <c r="T21" i="14"/>
  <c r="I23" i="14"/>
  <c r="M23" i="9"/>
  <c r="I22" i="14"/>
  <c r="M22" i="9"/>
  <c r="J21" i="9"/>
  <c r="Y46" i="9"/>
  <c r="Y21" i="8"/>
  <c r="T46" i="15"/>
  <c r="I26" i="14"/>
  <c r="M26" i="9"/>
  <c r="R22" i="17" l="1"/>
  <c r="T22" i="17" s="1"/>
  <c r="R23" i="17"/>
  <c r="T23" i="17" s="1"/>
  <c r="T21" i="17"/>
  <c r="T46" i="14"/>
  <c r="J21" i="8"/>
  <c r="L21" i="9"/>
  <c r="J46" i="9"/>
  <c r="J49" i="9" s="1"/>
  <c r="J51" i="9" s="1"/>
  <c r="J59" i="9" s="1"/>
  <c r="L21" i="8" l="1"/>
  <c r="I21" i="14"/>
  <c r="L46" i="9"/>
  <c r="L49" i="9" s="1"/>
  <c r="M21" i="9"/>
  <c r="M46" i="9" s="1"/>
  <c r="M49" i="9" s="1"/>
  <c r="V46" i="14"/>
  <c r="I21" i="13" l="1"/>
  <c r="I46" i="14"/>
  <c r="I49" i="14" s="1"/>
  <c r="J195" i="12" l="1"/>
  <c r="K179" i="12" s="1"/>
  <c r="K195" i="12" s="1"/>
  <c r="L179" i="12" s="1"/>
  <c r="L195" i="12" s="1"/>
  <c r="M179" i="12" s="1"/>
  <c r="M195" i="12" s="1"/>
  <c r="N179" i="12" s="1"/>
  <c r="N195" i="12" s="1"/>
  <c r="O179" i="12" s="1"/>
  <c r="O195" i="12" s="1"/>
  <c r="P179" i="12" s="1"/>
  <c r="P195" i="12" s="1"/>
  <c r="Q179" i="12" s="1"/>
  <c r="Q195" i="12" s="1"/>
  <c r="R179" i="12" s="1"/>
  <c r="R195" i="12" s="1"/>
  <c r="S179" i="12" s="1"/>
  <c r="S195" i="12" s="1"/>
  <c r="T179" i="12" s="1"/>
  <c r="T195" i="12" s="1"/>
  <c r="U179" i="12" s="1"/>
  <c r="U195" i="12" s="1"/>
  <c r="V195" i="12" s="1"/>
  <c r="J173" i="12"/>
  <c r="V179" i="12" l="1"/>
  <c r="K157" i="12"/>
  <c r="J170" i="12" l="1"/>
  <c r="J146" i="12"/>
  <c r="K173" i="12"/>
  <c r="L157" i="12" l="1"/>
  <c r="J144" i="12"/>
  <c r="K130" i="12"/>
  <c r="J172" i="12"/>
  <c r="K154" i="12"/>
  <c r="K156" i="12" l="1"/>
  <c r="K146" i="12"/>
  <c r="J147" i="12"/>
  <c r="K128" i="12"/>
  <c r="J145" i="12"/>
  <c r="K170" i="12"/>
  <c r="L173" i="12"/>
  <c r="K144" i="12" l="1"/>
  <c r="J196" i="12"/>
  <c r="K180" i="12" s="1"/>
  <c r="K196" i="12" s="1"/>
  <c r="L180" i="12" s="1"/>
  <c r="L196" i="12" s="1"/>
  <c r="M180" i="12" s="1"/>
  <c r="M196" i="12" s="1"/>
  <c r="N180" i="12" s="1"/>
  <c r="N196" i="12" s="1"/>
  <c r="O180" i="12" s="1"/>
  <c r="O196" i="12" s="1"/>
  <c r="P180" i="12" s="1"/>
  <c r="P196" i="12" s="1"/>
  <c r="Q180" i="12" s="1"/>
  <c r="Q196" i="12" s="1"/>
  <c r="R180" i="12" s="1"/>
  <c r="R196" i="12" s="1"/>
  <c r="S180" i="12" s="1"/>
  <c r="S196" i="12" s="1"/>
  <c r="T180" i="12" s="1"/>
  <c r="T196" i="12" s="1"/>
  <c r="U180" i="12" s="1"/>
  <c r="U196" i="12" s="1"/>
  <c r="V196" i="12" s="1"/>
  <c r="K131" i="12"/>
  <c r="J143" i="12"/>
  <c r="L154" i="12"/>
  <c r="L130" i="12"/>
  <c r="M157" i="12"/>
  <c r="J171" i="12"/>
  <c r="K129" i="12"/>
  <c r="K172" i="12"/>
  <c r="K127" i="12" l="1"/>
  <c r="M173" i="12"/>
  <c r="K147" i="12"/>
  <c r="V180" i="12"/>
  <c r="L156" i="12"/>
  <c r="K155" i="12"/>
  <c r="L146" i="12"/>
  <c r="K145" i="12"/>
  <c r="L170" i="12"/>
  <c r="L128" i="12"/>
  <c r="L172" i="12" l="1"/>
  <c r="L131" i="12"/>
  <c r="M154" i="12"/>
  <c r="N157" i="12"/>
  <c r="L129" i="12"/>
  <c r="M130" i="12"/>
  <c r="L144" i="12"/>
  <c r="K171" i="12"/>
  <c r="K143" i="12"/>
  <c r="N173" i="12" l="1"/>
  <c r="L155" i="12"/>
  <c r="M128" i="12"/>
  <c r="M146" i="12"/>
  <c r="L147" i="12"/>
  <c r="M170" i="12"/>
  <c r="L127" i="12"/>
  <c r="L145" i="12"/>
  <c r="M156" i="12"/>
  <c r="M144" i="12" l="1"/>
  <c r="N130" i="12"/>
  <c r="N154" i="12"/>
  <c r="L171" i="12"/>
  <c r="M129" i="12"/>
  <c r="L143" i="12"/>
  <c r="M172" i="12"/>
  <c r="M131" i="12"/>
  <c r="O157" i="12"/>
  <c r="O173" i="12" s="1"/>
  <c r="P157" i="12" s="1"/>
  <c r="P173" i="12" s="1"/>
  <c r="Q157" i="12" s="1"/>
  <c r="Q173" i="12" s="1"/>
  <c r="R157" i="12" s="1"/>
  <c r="R173" i="12" s="1"/>
  <c r="S157" i="12" s="1"/>
  <c r="S173" i="12" s="1"/>
  <c r="T157" i="12" s="1"/>
  <c r="T173" i="12" s="1"/>
  <c r="U157" i="12" s="1"/>
  <c r="M155" i="12" l="1"/>
  <c r="N170" i="12"/>
  <c r="M147" i="12"/>
  <c r="M127" i="12"/>
  <c r="N146" i="12"/>
  <c r="J169" i="12"/>
  <c r="N156" i="12"/>
  <c r="U173" i="12"/>
  <c r="V157" i="12"/>
  <c r="M145" i="12"/>
  <c r="N128" i="12"/>
  <c r="D28" i="12" l="1"/>
  <c r="V173" i="12"/>
  <c r="M143" i="12"/>
  <c r="N172" i="12"/>
  <c r="N131" i="12"/>
  <c r="N144" i="12"/>
  <c r="K153" i="12"/>
  <c r="O154" i="12"/>
  <c r="O170" i="12" s="1"/>
  <c r="P154" i="12" s="1"/>
  <c r="P170" i="12" s="1"/>
  <c r="Q154" i="12" s="1"/>
  <c r="Q170" i="12" s="1"/>
  <c r="R154" i="12" s="1"/>
  <c r="R170" i="12" s="1"/>
  <c r="S154" i="12" s="1"/>
  <c r="S170" i="12" s="1"/>
  <c r="T154" i="12" s="1"/>
  <c r="T170" i="12" s="1"/>
  <c r="U154" i="12" s="1"/>
  <c r="N129" i="12"/>
  <c r="O130" i="12"/>
  <c r="O146" i="12" s="1"/>
  <c r="P130" i="12" s="1"/>
  <c r="P146" i="12" s="1"/>
  <c r="Q130" i="12" s="1"/>
  <c r="Q146" i="12" s="1"/>
  <c r="R130" i="12" s="1"/>
  <c r="R146" i="12" s="1"/>
  <c r="S130" i="12" s="1"/>
  <c r="S146" i="12" s="1"/>
  <c r="T130" i="12" s="1"/>
  <c r="T146" i="12" s="1"/>
  <c r="U130" i="12" s="1"/>
  <c r="M171" i="12"/>
  <c r="N145" i="12" l="1"/>
  <c r="N147" i="12"/>
  <c r="U170" i="12"/>
  <c r="V154" i="12"/>
  <c r="O156" i="12"/>
  <c r="O172" i="12" s="1"/>
  <c r="P156" i="12" s="1"/>
  <c r="P172" i="12" s="1"/>
  <c r="Q156" i="12" s="1"/>
  <c r="Q172" i="12" s="1"/>
  <c r="R156" i="12" s="1"/>
  <c r="R172" i="12" s="1"/>
  <c r="S156" i="12" s="1"/>
  <c r="S172" i="12" s="1"/>
  <c r="T156" i="12" s="1"/>
  <c r="T172" i="12" s="1"/>
  <c r="U156" i="12" s="1"/>
  <c r="J184" i="12"/>
  <c r="J35" i="12" s="1"/>
  <c r="J194" i="12"/>
  <c r="J168" i="12"/>
  <c r="J158" i="12"/>
  <c r="J30" i="12" s="1"/>
  <c r="N155" i="12"/>
  <c r="K169" i="12"/>
  <c r="N127" i="12"/>
  <c r="U146" i="12"/>
  <c r="V130" i="12"/>
  <c r="O128" i="12"/>
  <c r="O144" i="12" s="1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U172" i="12" l="1"/>
  <c r="V156" i="12"/>
  <c r="D25" i="12"/>
  <c r="V170" i="12"/>
  <c r="C27" i="12"/>
  <c r="V146" i="12"/>
  <c r="N143" i="12"/>
  <c r="O131" i="12"/>
  <c r="O147" i="12" s="1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U144" i="12"/>
  <c r="V128" i="12"/>
  <c r="N171" i="12"/>
  <c r="J32" i="12"/>
  <c r="K30" i="12" s="1"/>
  <c r="J33" i="12"/>
  <c r="J200" i="12"/>
  <c r="K178" i="12"/>
  <c r="K152" i="12"/>
  <c r="J174" i="12"/>
  <c r="J142" i="12"/>
  <c r="J132" i="12"/>
  <c r="J25" i="12" s="1"/>
  <c r="L153" i="12"/>
  <c r="J37" i="12"/>
  <c r="K35" i="12" s="1"/>
  <c r="O129" i="12"/>
  <c r="O145" i="12" s="1"/>
  <c r="P129" i="12" s="1"/>
  <c r="P145" i="12" s="1"/>
  <c r="Q129" i="12" s="1"/>
  <c r="Q145" i="12" s="1"/>
  <c r="R129" i="12" s="1"/>
  <c r="R145" i="12" s="1"/>
  <c r="S129" i="12" s="1"/>
  <c r="S145" i="12" s="1"/>
  <c r="T129" i="12" s="1"/>
  <c r="T145" i="12" s="1"/>
  <c r="U129" i="12" s="1"/>
  <c r="J38" i="12" l="1"/>
  <c r="J27" i="12"/>
  <c r="K25" i="12" s="1"/>
  <c r="K32" i="12"/>
  <c r="L30" i="12" s="1"/>
  <c r="K33" i="12"/>
  <c r="O127" i="12"/>
  <c r="O143" i="12" s="1"/>
  <c r="P127" i="12" s="1"/>
  <c r="P143" i="12" s="1"/>
  <c r="Q127" i="12" s="1"/>
  <c r="Q143" i="12" s="1"/>
  <c r="R127" i="12" s="1"/>
  <c r="R143" i="12" s="1"/>
  <c r="S127" i="12" s="1"/>
  <c r="S143" i="12" s="1"/>
  <c r="T127" i="12" s="1"/>
  <c r="T143" i="12" s="1"/>
  <c r="U127" i="12" s="1"/>
  <c r="O155" i="12"/>
  <c r="O171" i="12" s="1"/>
  <c r="P155" i="12" s="1"/>
  <c r="P171" i="12" s="1"/>
  <c r="Q155" i="12" s="1"/>
  <c r="Q171" i="12" s="1"/>
  <c r="R155" i="12" s="1"/>
  <c r="R171" i="12" s="1"/>
  <c r="S155" i="12" s="1"/>
  <c r="S171" i="12" s="1"/>
  <c r="T155" i="12" s="1"/>
  <c r="T171" i="12" s="1"/>
  <c r="U155" i="12" s="1"/>
  <c r="U145" i="12"/>
  <c r="V129" i="12"/>
  <c r="C25" i="12"/>
  <c r="E25" i="12" s="1"/>
  <c r="V144" i="12"/>
  <c r="K37" i="12"/>
  <c r="L35" i="12" s="1"/>
  <c r="K168" i="12"/>
  <c r="K158" i="12"/>
  <c r="L169" i="12"/>
  <c r="K184" i="12"/>
  <c r="K194" i="12"/>
  <c r="J148" i="12"/>
  <c r="K126" i="12"/>
  <c r="U147" i="12"/>
  <c r="V131" i="12"/>
  <c r="D27" i="12"/>
  <c r="E27" i="12" s="1"/>
  <c r="V172" i="12"/>
  <c r="U171" i="12" l="1"/>
  <c r="V155" i="12"/>
  <c r="K200" i="12"/>
  <c r="L178" i="12"/>
  <c r="L152" i="12"/>
  <c r="K174" i="12"/>
  <c r="M153" i="12"/>
  <c r="L32" i="12"/>
  <c r="M30" i="12" s="1"/>
  <c r="K38" i="12"/>
  <c r="K27" i="12"/>
  <c r="L25" i="12" s="1"/>
  <c r="K28" i="12"/>
  <c r="L37" i="12"/>
  <c r="M35" i="12" s="1"/>
  <c r="U143" i="12"/>
  <c r="V127" i="12"/>
  <c r="C28" i="12"/>
  <c r="E28" i="12" s="1"/>
  <c r="V147" i="12"/>
  <c r="K142" i="12"/>
  <c r="K132" i="12"/>
  <c r="C26" i="12"/>
  <c r="V145" i="12"/>
  <c r="J28" i="12"/>
  <c r="L38" i="12" l="1"/>
  <c r="L33" i="12"/>
  <c r="L184" i="12"/>
  <c r="L194" i="12"/>
  <c r="L126" i="12"/>
  <c r="K148" i="12"/>
  <c r="L158" i="12"/>
  <c r="L168" i="12"/>
  <c r="M32" i="12"/>
  <c r="N30" i="12" s="1"/>
  <c r="M169" i="12"/>
  <c r="D26" i="12"/>
  <c r="E26" i="12" s="1"/>
  <c r="V171" i="12"/>
  <c r="L27" i="12"/>
  <c r="M25" i="12" s="1"/>
  <c r="L28" i="12"/>
  <c r="C24" i="12"/>
  <c r="V143" i="12"/>
  <c r="M37" i="12"/>
  <c r="N35" i="12" s="1"/>
  <c r="M33" i="12" l="1"/>
  <c r="N37" i="12"/>
  <c r="O35" i="12" s="1"/>
  <c r="M38" i="12"/>
  <c r="N153" i="12"/>
  <c r="N32" i="12"/>
  <c r="O30" i="12" s="1"/>
  <c r="N33" i="12"/>
  <c r="L200" i="12"/>
  <c r="M178" i="12"/>
  <c r="L142" i="12"/>
  <c r="L132" i="12"/>
  <c r="M27" i="12"/>
  <c r="N25" i="12" s="1"/>
  <c r="M152" i="12"/>
  <c r="L174" i="12"/>
  <c r="N38" i="12" l="1"/>
  <c r="M168" i="12"/>
  <c r="M158" i="12"/>
  <c r="M126" i="12"/>
  <c r="L148" i="12"/>
  <c r="N27" i="12"/>
  <c r="O25" i="12" s="1"/>
  <c r="N28" i="12"/>
  <c r="O32" i="12"/>
  <c r="P30" i="12" s="1"/>
  <c r="O33" i="12"/>
  <c r="N169" i="12"/>
  <c r="M28" i="12"/>
  <c r="M184" i="12"/>
  <c r="M194" i="12"/>
  <c r="O37" i="12"/>
  <c r="P35" i="12" s="1"/>
  <c r="O38" i="12" l="1"/>
  <c r="N178" i="12"/>
  <c r="M200" i="12"/>
  <c r="O153" i="12"/>
  <c r="O169" i="12" s="1"/>
  <c r="P153" i="12" s="1"/>
  <c r="P169" i="12" s="1"/>
  <c r="Q153" i="12" s="1"/>
  <c r="Q169" i="12" s="1"/>
  <c r="R153" i="12" s="1"/>
  <c r="R169" i="12" s="1"/>
  <c r="S153" i="12" s="1"/>
  <c r="S169" i="12" s="1"/>
  <c r="T153" i="12" s="1"/>
  <c r="T169" i="12" s="1"/>
  <c r="U153" i="12" s="1"/>
  <c r="M142" i="12"/>
  <c r="M132" i="12"/>
  <c r="O27" i="12"/>
  <c r="P25" i="12" s="1"/>
  <c r="P37" i="12"/>
  <c r="Q35" i="12" s="1"/>
  <c r="P32" i="12"/>
  <c r="Q30" i="12" s="1"/>
  <c r="M174" i="12"/>
  <c r="N152" i="12"/>
  <c r="P33" i="12" l="1"/>
  <c r="O28" i="12"/>
  <c r="P38" i="12"/>
  <c r="M148" i="12"/>
  <c r="N126" i="12"/>
  <c r="Q32" i="12"/>
  <c r="R30" i="12" s="1"/>
  <c r="Q33" i="12"/>
  <c r="N158" i="12"/>
  <c r="N168" i="12"/>
  <c r="U169" i="12"/>
  <c r="V153" i="12"/>
  <c r="Q37" i="12"/>
  <c r="R35" i="12" s="1"/>
  <c r="P27" i="12"/>
  <c r="Q25" i="12" s="1"/>
  <c r="P28" i="12"/>
  <c r="N194" i="12"/>
  <c r="N184" i="12"/>
  <c r="Q38" i="12" l="1"/>
  <c r="O152" i="12"/>
  <c r="N174" i="12"/>
  <c r="R37" i="12"/>
  <c r="S35" i="12" s="1"/>
  <c r="R38" i="12"/>
  <c r="N200" i="12"/>
  <c r="O178" i="12"/>
  <c r="R32" i="12"/>
  <c r="S30" i="12" s="1"/>
  <c r="N132" i="12"/>
  <c r="N142" i="12"/>
  <c r="Q27" i="12"/>
  <c r="R25" i="12" s="1"/>
  <c r="Q28" i="12"/>
  <c r="D24" i="12"/>
  <c r="E24" i="12" s="1"/>
  <c r="V169" i="12"/>
  <c r="O184" i="12" l="1"/>
  <c r="O194" i="12"/>
  <c r="R27" i="12"/>
  <c r="S25" i="12" s="1"/>
  <c r="R28" i="12"/>
  <c r="S37" i="12"/>
  <c r="T35" i="12" s="1"/>
  <c r="S38" i="12"/>
  <c r="S32" i="12"/>
  <c r="T30" i="12" s="1"/>
  <c r="O158" i="12"/>
  <c r="O168" i="12"/>
  <c r="N148" i="12"/>
  <c r="O126" i="12"/>
  <c r="R33" i="12"/>
  <c r="S33" i="12" l="1"/>
  <c r="T32" i="12"/>
  <c r="U30" i="12" s="1"/>
  <c r="U32" i="12" s="1"/>
  <c r="U33" i="12" s="1"/>
  <c r="T33" i="12"/>
  <c r="T37" i="12"/>
  <c r="U35" i="12" s="1"/>
  <c r="O132" i="12"/>
  <c r="O142" i="12"/>
  <c r="S27" i="12"/>
  <c r="T25" i="12" s="1"/>
  <c r="O174" i="12"/>
  <c r="P152" i="12"/>
  <c r="O200" i="12"/>
  <c r="P178" i="12"/>
  <c r="T38" i="12" l="1"/>
  <c r="T27" i="12"/>
  <c r="U25" i="12" s="1"/>
  <c r="U27" i="12" s="1"/>
  <c r="U28" i="12" s="1"/>
  <c r="T28" i="12"/>
  <c r="O148" i="12"/>
  <c r="P126" i="12"/>
  <c r="P194" i="12"/>
  <c r="P184" i="12"/>
  <c r="U37" i="12"/>
  <c r="E30" i="12" s="1"/>
  <c r="P168" i="12"/>
  <c r="P158" i="12"/>
  <c r="V33" i="12"/>
  <c r="D41" i="12" s="1"/>
  <c r="D42" i="12" s="1"/>
  <c r="S28" i="12"/>
  <c r="U38" i="12" l="1"/>
  <c r="V38" i="12" s="1"/>
  <c r="E41" i="12" s="1"/>
  <c r="E42" i="12" s="1"/>
  <c r="P200" i="12"/>
  <c r="Q178" i="12"/>
  <c r="P132" i="12"/>
  <c r="P142" i="12"/>
  <c r="Q152" i="12"/>
  <c r="P174" i="12"/>
  <c r="V28" i="12"/>
  <c r="C41" i="12" s="1"/>
  <c r="Q126" i="12" l="1"/>
  <c r="P148" i="12"/>
  <c r="Q158" i="12"/>
  <c r="Q168" i="12"/>
  <c r="Q184" i="12"/>
  <c r="Q194" i="12"/>
  <c r="C42" i="12"/>
  <c r="F41" i="12"/>
  <c r="F42" i="12" l="1"/>
  <c r="C44" i="12"/>
  <c r="D44" i="12"/>
  <c r="R178" i="12"/>
  <c r="Q200" i="12"/>
  <c r="R152" i="12"/>
  <c r="Q174" i="12"/>
  <c r="Q142" i="12"/>
  <c r="Q132" i="12"/>
  <c r="R126" i="12" l="1"/>
  <c r="Q148" i="12"/>
  <c r="R158" i="12"/>
  <c r="R168" i="12"/>
  <c r="R184" i="12"/>
  <c r="R194" i="12"/>
  <c r="D14" i="12"/>
  <c r="D15" i="12" s="1"/>
  <c r="D30" i="12"/>
  <c r="C14" i="12"/>
  <c r="C15" i="12" s="1"/>
  <c r="C30" i="12"/>
  <c r="R200" i="12" l="1"/>
  <c r="S178" i="12"/>
  <c r="R174" i="12"/>
  <c r="S152" i="12"/>
  <c r="R142" i="12"/>
  <c r="R132" i="12"/>
  <c r="S126" i="12" l="1"/>
  <c r="R148" i="12"/>
  <c r="S158" i="12"/>
  <c r="S168" i="12"/>
  <c r="S194" i="12"/>
  <c r="S184" i="12"/>
  <c r="S142" i="12" l="1"/>
  <c r="S132" i="12"/>
  <c r="S200" i="12"/>
  <c r="T178" i="12"/>
  <c r="T152" i="12"/>
  <c r="S174" i="12"/>
  <c r="T158" i="12" l="1"/>
  <c r="T168" i="12"/>
  <c r="T194" i="12"/>
  <c r="T184" i="12"/>
  <c r="T126" i="12"/>
  <c r="S148" i="12"/>
  <c r="T200" i="12" l="1"/>
  <c r="U178" i="12"/>
  <c r="T132" i="12"/>
  <c r="T142" i="12"/>
  <c r="U152" i="12"/>
  <c r="T174" i="12"/>
  <c r="U168" i="12" l="1"/>
  <c r="U158" i="12"/>
  <c r="V152" i="12"/>
  <c r="V158" i="12" s="1"/>
  <c r="U126" i="12"/>
  <c r="T148" i="12"/>
  <c r="U184" i="12"/>
  <c r="U194" i="12"/>
  <c r="V178" i="12"/>
  <c r="V184" i="12" s="1"/>
  <c r="U200" i="12" l="1"/>
  <c r="V194" i="12"/>
  <c r="V200" i="12" s="1"/>
  <c r="U142" i="12"/>
  <c r="U132" i="12"/>
  <c r="V126" i="12"/>
  <c r="V132" i="12" s="1"/>
  <c r="D23" i="12"/>
  <c r="D29" i="12" s="1"/>
  <c r="D31" i="12" s="1"/>
  <c r="U174" i="12"/>
  <c r="V168" i="12"/>
  <c r="V174" i="12" s="1"/>
  <c r="C23" i="12" l="1"/>
  <c r="U148" i="12"/>
  <c r="V142" i="12"/>
  <c r="V148" i="12" s="1"/>
  <c r="E23" i="12" l="1"/>
  <c r="C29" i="12"/>
  <c r="E29" i="12" l="1"/>
  <c r="E31" i="12" s="1"/>
  <c r="C31" i="12"/>
  <c r="G23" i="17" l="1"/>
  <c r="D23" i="24" s="1"/>
  <c r="U23" i="17"/>
  <c r="G23" i="24" l="1"/>
  <c r="R23" i="24"/>
  <c r="T23" i="24" s="1"/>
  <c r="V23" i="24" s="1"/>
  <c r="D23" i="21"/>
  <c r="R23" i="21" s="1"/>
  <c r="T23" i="21" s="1"/>
  <c r="V23" i="21" s="1"/>
  <c r="Y23" i="21" s="1"/>
  <c r="G23" i="21" l="1"/>
  <c r="U14" i="13"/>
  <c r="G14" i="13"/>
  <c r="D14" i="20" l="1"/>
  <c r="R14" i="20" s="1"/>
  <c r="U34" i="13"/>
  <c r="D14" i="16"/>
  <c r="T14" i="20" l="1"/>
  <c r="R14" i="16"/>
  <c r="T14" i="16" l="1"/>
  <c r="U26" i="15" l="1"/>
  <c r="G26" i="15"/>
  <c r="G23" i="15" l="1"/>
  <c r="U23" i="15"/>
  <c r="G25" i="15"/>
  <c r="U25" i="15"/>
  <c r="T25" i="18" l="1"/>
  <c r="U21" i="15"/>
  <c r="G21" i="15"/>
  <c r="D21" i="16" s="1"/>
  <c r="E46" i="15"/>
  <c r="E49" i="15" s="1"/>
  <c r="G24" i="15"/>
  <c r="U24" i="15"/>
  <c r="U22" i="15"/>
  <c r="G22" i="15"/>
  <c r="T23" i="18" l="1"/>
  <c r="D23" i="16"/>
  <c r="G46" i="15"/>
  <c r="G49" i="15" s="1"/>
  <c r="U46" i="15"/>
  <c r="T26" i="18"/>
  <c r="T22" i="18" l="1"/>
  <c r="D22" i="16"/>
  <c r="T24" i="18"/>
  <c r="D46" i="18"/>
  <c r="D49" i="18" s="1"/>
  <c r="T21" i="18" l="1"/>
  <c r="T46" i="18" s="1"/>
  <c r="R46" i="18"/>
  <c r="V14" i="16" l="1"/>
  <c r="J14" i="16"/>
  <c r="J34" i="13" l="1"/>
  <c r="J14" i="13" l="1"/>
  <c r="L14" i="13" l="1"/>
  <c r="I14" i="20" l="1"/>
  <c r="I14" i="16"/>
  <c r="M14" i="13"/>
  <c r="L14" i="16" l="1"/>
  <c r="L14" i="20"/>
  <c r="I14" i="23" s="1"/>
  <c r="F50" i="20" l="1"/>
  <c r="G48" i="20"/>
  <c r="J25" i="14" l="1"/>
  <c r="L25" i="14" s="1"/>
  <c r="J23" i="14" l="1"/>
  <c r="L23" i="14" s="1"/>
  <c r="M23" i="14" l="1"/>
  <c r="J26" i="14" l="1"/>
  <c r="L26" i="14" s="1"/>
  <c r="J24" i="14"/>
  <c r="L24" i="14" s="1"/>
  <c r="J22" i="14"/>
  <c r="L22" i="14" s="1"/>
  <c r="M22" i="14" l="1"/>
  <c r="J26" i="15" l="1"/>
  <c r="L26" i="15" s="1"/>
  <c r="V26" i="15"/>
  <c r="V26" i="13" s="1"/>
  <c r="Y26" i="13"/>
  <c r="J26" i="13" s="1"/>
  <c r="L26" i="13" s="1"/>
  <c r="J25" i="15"/>
  <c r="L25" i="15" s="1"/>
  <c r="V25" i="15"/>
  <c r="V25" i="13" s="1"/>
  <c r="Y25" i="13"/>
  <c r="J25" i="13" s="1"/>
  <c r="L25" i="13" s="1"/>
  <c r="J23" i="15"/>
  <c r="L23" i="15" s="1"/>
  <c r="V23" i="15"/>
  <c r="V23" i="13" s="1"/>
  <c r="Y23" i="13"/>
  <c r="J23" i="13" s="1"/>
  <c r="L23" i="13" s="1"/>
  <c r="I25" i="16" l="1"/>
  <c r="I26" i="16"/>
  <c r="I23" i="16"/>
  <c r="M23" i="15"/>
  <c r="M25" i="15"/>
  <c r="J22" i="15"/>
  <c r="L22" i="15" s="1"/>
  <c r="V22" i="15"/>
  <c r="V22" i="13" s="1"/>
  <c r="Y22" i="13"/>
  <c r="J22" i="13" s="1"/>
  <c r="L22" i="13" s="1"/>
  <c r="J24" i="15"/>
  <c r="L24" i="15" s="1"/>
  <c r="V24" i="15"/>
  <c r="V24" i="13" s="1"/>
  <c r="Y24" i="13"/>
  <c r="J24" i="13" s="1"/>
  <c r="L24" i="13" s="1"/>
  <c r="M26" i="15"/>
  <c r="I22" i="16" l="1"/>
  <c r="M22" i="15"/>
  <c r="I24" i="16"/>
  <c r="M24" i="15"/>
  <c r="V21" i="15" l="1"/>
  <c r="J21" i="15"/>
  <c r="Y46" i="15"/>
  <c r="J46" i="15" l="1"/>
  <c r="J49" i="15" s="1"/>
  <c r="J51" i="15" s="1"/>
  <c r="J59" i="15" s="1"/>
  <c r="L21" i="15"/>
  <c r="V46" i="15"/>
  <c r="V21" i="13"/>
  <c r="L46" i="15" l="1"/>
  <c r="L49" i="15" s="1"/>
  <c r="M21" i="15"/>
  <c r="M46" i="15" s="1"/>
  <c r="M49" i="15" s="1"/>
  <c r="I46" i="18" l="1"/>
  <c r="I49" i="18" s="1"/>
  <c r="J21" i="14" l="1"/>
  <c r="Y46" i="14"/>
  <c r="Y21" i="13"/>
  <c r="J21" i="13" l="1"/>
  <c r="J46" i="14"/>
  <c r="J49" i="14" s="1"/>
  <c r="J51" i="14" s="1"/>
  <c r="J59" i="14" s="1"/>
  <c r="L21" i="14"/>
  <c r="M21" i="14" l="1"/>
  <c r="L46" i="14"/>
  <c r="L49" i="14" s="1"/>
  <c r="I21" i="16"/>
  <c r="L21" i="13"/>
  <c r="I46" i="17" l="1"/>
  <c r="I49" i="17" s="1"/>
  <c r="U23" i="20" l="1"/>
  <c r="U27" i="20" l="1"/>
  <c r="U28" i="20"/>
  <c r="U29" i="20"/>
  <c r="U27" i="16" l="1"/>
  <c r="U17" i="16"/>
  <c r="U20" i="16"/>
  <c r="U19" i="16"/>
  <c r="U18" i="16"/>
  <c r="U18" i="20"/>
  <c r="U17" i="20"/>
  <c r="U29" i="16"/>
  <c r="U20" i="20"/>
  <c r="U28" i="16"/>
  <c r="U19" i="20"/>
  <c r="U20" i="13" l="1"/>
  <c r="G20" i="13"/>
  <c r="U18" i="13"/>
  <c r="G18" i="13"/>
  <c r="U17" i="13"/>
  <c r="G17" i="13"/>
  <c r="U27" i="13"/>
  <c r="G27" i="13"/>
  <c r="U29" i="13"/>
  <c r="G29" i="13"/>
  <c r="U19" i="13"/>
  <c r="G19" i="13"/>
  <c r="U28" i="13"/>
  <c r="G28" i="13"/>
  <c r="M17" i="13" l="1"/>
  <c r="M18" i="13"/>
  <c r="M28" i="13"/>
  <c r="M19" i="13"/>
  <c r="M29" i="13"/>
  <c r="M20" i="13"/>
  <c r="M27" i="13"/>
  <c r="R28" i="16" l="1"/>
  <c r="T28" i="16" s="1"/>
  <c r="G28" i="16"/>
  <c r="R29" i="16"/>
  <c r="T29" i="16" s="1"/>
  <c r="G29" i="16"/>
  <c r="R17" i="16"/>
  <c r="G17" i="16"/>
  <c r="R18" i="16"/>
  <c r="T18" i="16" s="1"/>
  <c r="G18" i="16"/>
  <c r="R27" i="16"/>
  <c r="T27" i="16" s="1"/>
  <c r="G27" i="16"/>
  <c r="R19" i="16"/>
  <c r="T19" i="16" s="1"/>
  <c r="G19" i="16"/>
  <c r="R20" i="16"/>
  <c r="T20" i="16" s="1"/>
  <c r="G20" i="16"/>
  <c r="M19" i="16" l="1"/>
  <c r="D19" i="20"/>
  <c r="M20" i="16"/>
  <c r="D20" i="20"/>
  <c r="M17" i="16"/>
  <c r="D17" i="20"/>
  <c r="D18" i="20"/>
  <c r="M29" i="16"/>
  <c r="D29" i="20"/>
  <c r="D28" i="20"/>
  <c r="M28" i="16"/>
  <c r="M27" i="16"/>
  <c r="D27" i="20"/>
  <c r="T17" i="16"/>
  <c r="R20" i="20" l="1"/>
  <c r="T20" i="20" s="1"/>
  <c r="G20" i="20"/>
  <c r="R19" i="20"/>
  <c r="T19" i="20" s="1"/>
  <c r="G19" i="20"/>
  <c r="G17" i="20"/>
  <c r="R17" i="20"/>
  <c r="T17" i="20" s="1"/>
  <c r="R18" i="20"/>
  <c r="T18" i="20" s="1"/>
  <c r="G18" i="20"/>
  <c r="D18" i="23" s="1"/>
  <c r="G29" i="20"/>
  <c r="R29" i="20"/>
  <c r="T29" i="20" s="1"/>
  <c r="R27" i="20"/>
  <c r="T27" i="20" s="1"/>
  <c r="G27" i="20"/>
  <c r="G28" i="20"/>
  <c r="R28" i="20"/>
  <c r="T28" i="20" s="1"/>
  <c r="M27" i="20" l="1"/>
  <c r="D27" i="23"/>
  <c r="R18" i="23"/>
  <c r="T18" i="23" s="1"/>
  <c r="V18" i="23" s="1"/>
  <c r="Y18" i="23" s="1"/>
  <c r="G18" i="23"/>
  <c r="M28" i="20"/>
  <c r="D28" i="23"/>
  <c r="M20" i="20"/>
  <c r="D20" i="23"/>
  <c r="M17" i="20"/>
  <c r="D17" i="23"/>
  <c r="M19" i="20"/>
  <c r="D19" i="23"/>
  <c r="M29" i="20"/>
  <c r="D29" i="23"/>
  <c r="J18" i="23" l="1"/>
  <c r="R20" i="23"/>
  <c r="T20" i="23" s="1"/>
  <c r="V20" i="23" s="1"/>
  <c r="Y20" i="23" s="1"/>
  <c r="G20" i="23"/>
  <c r="R29" i="23"/>
  <c r="T29" i="23" s="1"/>
  <c r="V29" i="23" s="1"/>
  <c r="Y29" i="23" s="1"/>
  <c r="J29" i="23" s="1"/>
  <c r="L29" i="23" s="1"/>
  <c r="G29" i="23"/>
  <c r="R19" i="23"/>
  <c r="T19" i="23" s="1"/>
  <c r="V19" i="23" s="1"/>
  <c r="Y19" i="23" s="1"/>
  <c r="G19" i="23"/>
  <c r="G17" i="23"/>
  <c r="R17" i="23"/>
  <c r="T17" i="23" s="1"/>
  <c r="V17" i="23" s="1"/>
  <c r="Y17" i="23" s="1"/>
  <c r="J17" i="23" s="1"/>
  <c r="L17" i="23" s="1"/>
  <c r="R28" i="23"/>
  <c r="T28" i="23" s="1"/>
  <c r="V28" i="23" s="1"/>
  <c r="Y28" i="23" s="1"/>
  <c r="J28" i="23" s="1"/>
  <c r="L28" i="23" s="1"/>
  <c r="G28" i="23"/>
  <c r="G27" i="23"/>
  <c r="R27" i="23"/>
  <c r="T27" i="23" s="1"/>
  <c r="V27" i="23" s="1"/>
  <c r="Y27" i="23" s="1"/>
  <c r="R26" i="8"/>
  <c r="T26" i="8" s="1"/>
  <c r="R32" i="8"/>
  <c r="T32" i="8" s="1"/>
  <c r="V32" i="8" s="1"/>
  <c r="G32" i="8"/>
  <c r="R34" i="8"/>
  <c r="T34" i="8" s="1"/>
  <c r="V34" i="8" s="1"/>
  <c r="Y34" i="8" s="1"/>
  <c r="J34" i="8" s="1"/>
  <c r="L34" i="8" s="1"/>
  <c r="I34" i="13" s="1"/>
  <c r="L34" i="13" s="1"/>
  <c r="I34" i="16" s="1"/>
  <c r="G34" i="8"/>
  <c r="R21" i="8"/>
  <c r="R24" i="8"/>
  <c r="T24" i="8" s="1"/>
  <c r="R22" i="8"/>
  <c r="T22" i="8" s="1"/>
  <c r="R25" i="8"/>
  <c r="T25" i="8" s="1"/>
  <c r="R23" i="8"/>
  <c r="T23" i="8" s="1"/>
  <c r="D47" i="8"/>
  <c r="D50" i="8" s="1"/>
  <c r="J19" i="23" l="1"/>
  <c r="L19" i="23" s="1"/>
  <c r="M19" i="23" s="1"/>
  <c r="J27" i="23"/>
  <c r="L27" i="23" s="1"/>
  <c r="M27" i="23" s="1"/>
  <c r="J20" i="23"/>
  <c r="L20" i="23" s="1"/>
  <c r="M20" i="23" s="1"/>
  <c r="M17" i="23"/>
  <c r="M29" i="23"/>
  <c r="M28" i="23"/>
  <c r="D34" i="13"/>
  <c r="M34" i="8"/>
  <c r="T21" i="8"/>
  <c r="D32" i="13"/>
  <c r="R36" i="8"/>
  <c r="T36" i="8" s="1"/>
  <c r="V36" i="8" s="1"/>
  <c r="Y36" i="8" s="1"/>
  <c r="J36" i="8" s="1"/>
  <c r="L36" i="8" s="1"/>
  <c r="I36" i="13" s="1"/>
  <c r="G36" i="8"/>
  <c r="Y32" i="8"/>
  <c r="R32" i="13" l="1"/>
  <c r="T32" i="13" s="1"/>
  <c r="D36" i="13"/>
  <c r="M36" i="8"/>
  <c r="T47" i="8"/>
  <c r="R47" i="8"/>
  <c r="V47" i="8"/>
  <c r="J32" i="8"/>
  <c r="Y47" i="8"/>
  <c r="R34" i="13"/>
  <c r="T34" i="13" s="1"/>
  <c r="G34" i="13"/>
  <c r="L32" i="8" l="1"/>
  <c r="J47" i="8"/>
  <c r="J50" i="8" s="1"/>
  <c r="J52" i="8" s="1"/>
  <c r="J60" i="8" s="1"/>
  <c r="M34" i="13"/>
  <c r="R36" i="13"/>
  <c r="T36" i="13" s="1"/>
  <c r="R34" i="16" l="1"/>
  <c r="T34" i="16" s="1"/>
  <c r="I32" i="13"/>
  <c r="I47" i="13" s="1"/>
  <c r="I50" i="13" s="1"/>
  <c r="L47" i="8"/>
  <c r="M32" i="8"/>
  <c r="L50" i="8" l="1"/>
  <c r="E47" i="8" l="1"/>
  <c r="E50" i="8" s="1"/>
  <c r="U21" i="8"/>
  <c r="G21" i="8"/>
  <c r="U24" i="8"/>
  <c r="G24" i="8"/>
  <c r="U25" i="8"/>
  <c r="G25" i="8"/>
  <c r="U23" i="8"/>
  <c r="G23" i="8"/>
  <c r="U26" i="8"/>
  <c r="G26" i="8"/>
  <c r="U22" i="8"/>
  <c r="G22" i="8"/>
  <c r="D22" i="13" l="1"/>
  <c r="R22" i="13" s="1"/>
  <c r="T22" i="13" s="1"/>
  <c r="M22" i="8"/>
  <c r="D26" i="13"/>
  <c r="R26" i="13" s="1"/>
  <c r="T26" i="13" s="1"/>
  <c r="M26" i="8"/>
  <c r="G47" i="8"/>
  <c r="D21" i="13"/>
  <c r="M21" i="8"/>
  <c r="U47" i="8"/>
  <c r="D25" i="13"/>
  <c r="R25" i="13" s="1"/>
  <c r="T25" i="13" s="1"/>
  <c r="M25" i="8"/>
  <c r="D24" i="13"/>
  <c r="R24" i="13" s="1"/>
  <c r="T24" i="13" s="1"/>
  <c r="M24" i="8"/>
  <c r="D23" i="13"/>
  <c r="R23" i="13" s="1"/>
  <c r="T23" i="13" s="1"/>
  <c r="M23" i="8"/>
  <c r="M47" i="8" l="1"/>
  <c r="M50" i="8" s="1"/>
  <c r="R21" i="13"/>
  <c r="D47" i="13"/>
  <c r="R47" i="13" l="1"/>
  <c r="T21" i="13"/>
  <c r="T47" i="13" s="1"/>
  <c r="G48" i="8"/>
  <c r="F50" i="8"/>
  <c r="D50" i="13" l="1"/>
  <c r="G50" i="8"/>
  <c r="G23" i="13" l="1"/>
  <c r="U23" i="13"/>
  <c r="U21" i="13" l="1"/>
  <c r="G21" i="13"/>
  <c r="G22" i="13"/>
  <c r="U22" i="13"/>
  <c r="R23" i="16"/>
  <c r="T23" i="16" s="1"/>
  <c r="M23" i="13"/>
  <c r="R22" i="16" l="1"/>
  <c r="T22" i="16" s="1"/>
  <c r="M22" i="13"/>
  <c r="M21" i="13"/>
  <c r="R21" i="16" l="1"/>
  <c r="T21" i="16" l="1"/>
  <c r="J37" i="16" l="1"/>
  <c r="L37" i="16" s="1"/>
  <c r="I37" i="20" s="1"/>
  <c r="V36" i="16" l="1"/>
  <c r="J36" i="16"/>
  <c r="V34" i="16" l="1"/>
  <c r="J34" i="16"/>
  <c r="L34" i="16" s="1"/>
  <c r="I34" i="20" l="1"/>
  <c r="U33" i="16" l="1"/>
  <c r="G33" i="16"/>
  <c r="U24" i="18"/>
  <c r="G24" i="18"/>
  <c r="D24" i="22" l="1"/>
  <c r="R24" i="22" s="1"/>
  <c r="T24" i="22" s="1"/>
  <c r="V24" i="22" s="1"/>
  <c r="Y24" i="22" s="1"/>
  <c r="D33" i="20"/>
  <c r="U35" i="16" l="1"/>
  <c r="G35" i="16"/>
  <c r="U32" i="16"/>
  <c r="U38" i="16"/>
  <c r="G38" i="16"/>
  <c r="G33" i="20"/>
  <c r="D33" i="23" s="1"/>
  <c r="R33" i="20"/>
  <c r="T33" i="20" s="1"/>
  <c r="V33" i="20" s="1"/>
  <c r="Y33" i="20" s="1"/>
  <c r="G33" i="23" l="1"/>
  <c r="R33" i="23"/>
  <c r="T33" i="23" s="1"/>
  <c r="V33" i="23" s="1"/>
  <c r="Y33" i="23" s="1"/>
  <c r="J33" i="23" s="1"/>
  <c r="D35" i="20"/>
  <c r="D38" i="20"/>
  <c r="U25" i="18"/>
  <c r="G25" i="18"/>
  <c r="D25" i="22" l="1"/>
  <c r="R25" i="22" s="1"/>
  <c r="T25" i="22" s="1"/>
  <c r="Y25" i="22" s="1"/>
  <c r="U36" i="16"/>
  <c r="G38" i="20"/>
  <c r="D38" i="23" s="1"/>
  <c r="R38" i="20"/>
  <c r="T38" i="20" s="1"/>
  <c r="V38" i="20" s="1"/>
  <c r="Y38" i="20" s="1"/>
  <c r="R35" i="20"/>
  <c r="T35" i="20" s="1"/>
  <c r="V35" i="20" s="1"/>
  <c r="Y35" i="20" s="1"/>
  <c r="U22" i="18"/>
  <c r="G22" i="18"/>
  <c r="U23" i="18"/>
  <c r="G23" i="18"/>
  <c r="G38" i="23" l="1"/>
  <c r="R38" i="23"/>
  <c r="T38" i="23" s="1"/>
  <c r="V38" i="23" s="1"/>
  <c r="Y38" i="23" s="1"/>
  <c r="J38" i="23" s="1"/>
  <c r="G25" i="22"/>
  <c r="D25" i="25" s="1"/>
  <c r="D22" i="22"/>
  <c r="R22" i="22" s="1"/>
  <c r="T22" i="22" s="1"/>
  <c r="V22" i="22" s="1"/>
  <c r="Y22" i="22" s="1"/>
  <c r="D23" i="22"/>
  <c r="G23" i="22" s="1"/>
  <c r="D23" i="25" s="1"/>
  <c r="R23" i="25" s="1"/>
  <c r="T23" i="25" s="1"/>
  <c r="V23" i="25" s="1"/>
  <c r="U21" i="18"/>
  <c r="G21" i="18"/>
  <c r="E46" i="18"/>
  <c r="E49" i="18" s="1"/>
  <c r="U26" i="18"/>
  <c r="G26" i="18"/>
  <c r="G23" i="25" l="1"/>
  <c r="G25" i="25"/>
  <c r="R25" i="25"/>
  <c r="T25" i="25" s="1"/>
  <c r="U46" i="18"/>
  <c r="R23" i="22"/>
  <c r="T23" i="22" s="1"/>
  <c r="V23" i="22" s="1"/>
  <c r="Y23" i="22" s="1"/>
  <c r="D26" i="22"/>
  <c r="R26" i="22" s="1"/>
  <c r="T26" i="22" s="1"/>
  <c r="D21" i="22"/>
  <c r="G46" i="18"/>
  <c r="G49" i="18" s="1"/>
  <c r="R21" i="22" l="1"/>
  <c r="D46" i="22"/>
  <c r="D49" i="22" s="1"/>
  <c r="T21" i="22" l="1"/>
  <c r="R46" i="22"/>
  <c r="T46" i="22" l="1"/>
  <c r="V21" i="22"/>
  <c r="Y21" i="22" s="1"/>
  <c r="J18" i="18"/>
  <c r="Y18" i="16"/>
  <c r="J18" i="16" l="1"/>
  <c r="L18" i="18"/>
  <c r="I18" i="22" l="1"/>
  <c r="M18" i="18"/>
  <c r="L18" i="16"/>
  <c r="I18" i="20" l="1"/>
  <c r="M18" i="16"/>
  <c r="J18" i="22" l="1"/>
  <c r="Y18" i="20"/>
  <c r="J18" i="20" l="1"/>
  <c r="L18" i="20" s="1"/>
  <c r="I18" i="23" s="1"/>
  <c r="L18" i="22"/>
  <c r="I18" i="25" s="1"/>
  <c r="L18" i="25" l="1"/>
  <c r="M18" i="25" s="1"/>
  <c r="L18" i="23"/>
  <c r="M18" i="23" s="1"/>
  <c r="M18" i="22"/>
  <c r="M18" i="20"/>
  <c r="J38" i="20" l="1"/>
  <c r="J35" i="20" l="1"/>
  <c r="V38" i="16" l="1"/>
  <c r="J38" i="16"/>
  <c r="L38" i="16" s="1"/>
  <c r="I38" i="20" l="1"/>
  <c r="L38" i="20" s="1"/>
  <c r="I38" i="23" s="1"/>
  <c r="L38" i="23" s="1"/>
  <c r="M38" i="16"/>
  <c r="M38" i="23" l="1"/>
  <c r="M38" i="20"/>
  <c r="J33" i="20" l="1"/>
  <c r="V33" i="16" l="1"/>
  <c r="J33" i="16"/>
  <c r="L33" i="16" s="1"/>
  <c r="V35" i="16" l="1"/>
  <c r="J35" i="16"/>
  <c r="L35" i="16" s="1"/>
  <c r="I33" i="20"/>
  <c r="L33" i="20" s="1"/>
  <c r="I33" i="23" s="1"/>
  <c r="L33" i="23" s="1"/>
  <c r="M33" i="16"/>
  <c r="V32" i="16"/>
  <c r="J32" i="16"/>
  <c r="M33" i="23" l="1"/>
  <c r="M33" i="20"/>
  <c r="I35" i="20"/>
  <c r="L35" i="20" s="1"/>
  <c r="I35" i="23" s="1"/>
  <c r="M35" i="16"/>
  <c r="U44" i="16" l="1"/>
  <c r="G44" i="16"/>
  <c r="V44" i="16" l="1"/>
  <c r="D44" i="20"/>
  <c r="R44" i="20" l="1"/>
  <c r="G44" i="20"/>
  <c r="D44" i="23" s="1"/>
  <c r="R44" i="23" l="1"/>
  <c r="T44" i="23" s="1"/>
  <c r="V44" i="23" s="1"/>
  <c r="G44" i="23"/>
  <c r="T44" i="20"/>
  <c r="V44" i="20" l="1"/>
  <c r="J25" i="17" l="1"/>
  <c r="V24" i="18" l="1"/>
  <c r="J24" i="18"/>
  <c r="L24" i="18" s="1"/>
  <c r="J23" i="17"/>
  <c r="V23" i="17"/>
  <c r="V22" i="17"/>
  <c r="J22" i="17"/>
  <c r="J22" i="22"/>
  <c r="J25" i="18"/>
  <c r="L25" i="18" s="1"/>
  <c r="V25" i="18"/>
  <c r="V25" i="16" s="1"/>
  <c r="J23" i="21"/>
  <c r="Y23" i="20"/>
  <c r="J23" i="20" s="1"/>
  <c r="L25" i="17"/>
  <c r="Y25" i="16"/>
  <c r="J25" i="16" s="1"/>
  <c r="L25" i="16" s="1"/>
  <c r="J23" i="22"/>
  <c r="J22" i="18"/>
  <c r="L22" i="18" s="1"/>
  <c r="V22" i="18"/>
  <c r="J23" i="18"/>
  <c r="L23" i="18" s="1"/>
  <c r="V23" i="18"/>
  <c r="V24" i="17"/>
  <c r="V24" i="16" s="1"/>
  <c r="J24" i="17"/>
  <c r="V23" i="16" l="1"/>
  <c r="M23" i="18"/>
  <c r="I23" i="22"/>
  <c r="L23" i="22" s="1"/>
  <c r="M25" i="18"/>
  <c r="I25" i="22"/>
  <c r="L22" i="17"/>
  <c r="Y22" i="16"/>
  <c r="J22" i="16" s="1"/>
  <c r="L22" i="16" s="1"/>
  <c r="V22" i="16"/>
  <c r="M22" i="18"/>
  <c r="I22" i="22"/>
  <c r="L22" i="22" s="1"/>
  <c r="I22" i="25" s="1"/>
  <c r="I25" i="20"/>
  <c r="Y24" i="16"/>
  <c r="J24" i="16" s="1"/>
  <c r="L24" i="16" s="1"/>
  <c r="L24" i="17"/>
  <c r="I25" i="21"/>
  <c r="L23" i="17"/>
  <c r="Y23" i="16"/>
  <c r="J23" i="16" s="1"/>
  <c r="L23" i="16" s="1"/>
  <c r="V26" i="17"/>
  <c r="J26" i="17"/>
  <c r="I24" i="22"/>
  <c r="M24" i="18"/>
  <c r="J21" i="17"/>
  <c r="V21" i="17"/>
  <c r="Y46" i="17"/>
  <c r="J21" i="18"/>
  <c r="V21" i="18"/>
  <c r="Y46" i="18"/>
  <c r="V23" i="20"/>
  <c r="J21" i="22"/>
  <c r="V26" i="18"/>
  <c r="J26" i="18"/>
  <c r="L26" i="18" s="1"/>
  <c r="M23" i="22" l="1"/>
  <c r="I23" i="25"/>
  <c r="V46" i="17"/>
  <c r="I23" i="20"/>
  <c r="L23" i="20" s="1"/>
  <c r="I23" i="23" s="1"/>
  <c r="L26" i="17"/>
  <c r="Y26" i="16"/>
  <c r="J26" i="16" s="1"/>
  <c r="L26" i="16" s="1"/>
  <c r="V26" i="16"/>
  <c r="I26" i="22"/>
  <c r="M26" i="18"/>
  <c r="Y21" i="16"/>
  <c r="L21" i="17"/>
  <c r="J46" i="17"/>
  <c r="J49" i="17" s="1"/>
  <c r="J51" i="17" s="1"/>
  <c r="J59" i="17" s="1"/>
  <c r="I23" i="21"/>
  <c r="L23" i="21" s="1"/>
  <c r="M23" i="17"/>
  <c r="I22" i="21"/>
  <c r="I22" i="20"/>
  <c r="V46" i="18"/>
  <c r="L21" i="18"/>
  <c r="J46" i="18"/>
  <c r="J49" i="18" s="1"/>
  <c r="J51" i="18" s="1"/>
  <c r="J59" i="18" s="1"/>
  <c r="I24" i="21"/>
  <c r="I24" i="20"/>
  <c r="M23" i="21" l="1"/>
  <c r="I23" i="24"/>
  <c r="I21" i="21"/>
  <c r="L46" i="17"/>
  <c r="L49" i="17" s="1"/>
  <c r="J21" i="16"/>
  <c r="V21" i="16"/>
  <c r="V47" i="16" s="1"/>
  <c r="I26" i="20"/>
  <c r="M21" i="18"/>
  <c r="M46" i="18" s="1"/>
  <c r="M49" i="18" s="1"/>
  <c r="I21" i="22"/>
  <c r="L46" i="18"/>
  <c r="L49" i="18" s="1"/>
  <c r="I26" i="21"/>
  <c r="L21" i="16" l="1"/>
  <c r="L21" i="22"/>
  <c r="I21" i="25" s="1"/>
  <c r="I46" i="22"/>
  <c r="I49" i="22" s="1"/>
  <c r="I46" i="21"/>
  <c r="I49" i="21" s="1"/>
  <c r="I21" i="20" l="1"/>
  <c r="U24" i="17" l="1"/>
  <c r="U25" i="20" l="1"/>
  <c r="U26" i="17"/>
  <c r="U26" i="21"/>
  <c r="U25" i="21"/>
  <c r="U24" i="21"/>
  <c r="U22" i="21"/>
  <c r="U32" i="20"/>
  <c r="U25" i="17"/>
  <c r="U22" i="22" l="1"/>
  <c r="G22" i="22"/>
  <c r="D22" i="25" s="1"/>
  <c r="U24" i="22"/>
  <c r="G24" i="22"/>
  <c r="D24" i="25" s="1"/>
  <c r="U26" i="22"/>
  <c r="V26" i="22" s="1"/>
  <c r="Y26" i="22" s="1"/>
  <c r="G26" i="22"/>
  <c r="D26" i="25" s="1"/>
  <c r="U25" i="14"/>
  <c r="G25" i="14"/>
  <c r="E46" i="21"/>
  <c r="E49" i="21" s="1"/>
  <c r="U21" i="21"/>
  <c r="U46" i="21" s="1"/>
  <c r="U26" i="14"/>
  <c r="G26" i="14"/>
  <c r="G22" i="17"/>
  <c r="D22" i="24" s="1"/>
  <c r="U22" i="17"/>
  <c r="U24" i="14"/>
  <c r="E46" i="14"/>
  <c r="E49" i="14" s="1"/>
  <c r="G24" i="14"/>
  <c r="U32" i="13"/>
  <c r="G32" i="13"/>
  <c r="E46" i="22"/>
  <c r="E49" i="22" s="1"/>
  <c r="U21" i="22"/>
  <c r="U46" i="22" s="1"/>
  <c r="G21" i="22"/>
  <c r="D21" i="25" s="1"/>
  <c r="G21" i="17"/>
  <c r="D21" i="24" s="1"/>
  <c r="E46" i="17"/>
  <c r="E49" i="17" s="1"/>
  <c r="U21" i="17"/>
  <c r="R26" i="25" l="1"/>
  <c r="T26" i="25" s="1"/>
  <c r="V26" i="25" s="1"/>
  <c r="G26" i="25"/>
  <c r="R24" i="25"/>
  <c r="T24" i="25" s="1"/>
  <c r="V24" i="25" s="1"/>
  <c r="G24" i="25"/>
  <c r="R22" i="25"/>
  <c r="T22" i="25" s="1"/>
  <c r="V22" i="25" s="1"/>
  <c r="G22" i="25"/>
  <c r="R21" i="25"/>
  <c r="D46" i="25"/>
  <c r="D49" i="25" s="1"/>
  <c r="G21" i="25"/>
  <c r="R21" i="24"/>
  <c r="T21" i="24" s="1"/>
  <c r="V21" i="24" s="1"/>
  <c r="G21" i="24"/>
  <c r="U21" i="20"/>
  <c r="U24" i="20"/>
  <c r="U24" i="23"/>
  <c r="R22" i="24"/>
  <c r="G22" i="24"/>
  <c r="U22" i="20"/>
  <c r="U22" i="23"/>
  <c r="U26" i="20"/>
  <c r="U26" i="23"/>
  <c r="U36" i="13"/>
  <c r="G36" i="13"/>
  <c r="U14" i="20"/>
  <c r="G14" i="20"/>
  <c r="D14" i="23" s="1"/>
  <c r="M25" i="14"/>
  <c r="U46" i="17"/>
  <c r="D22" i="21"/>
  <c r="M22" i="17"/>
  <c r="M26" i="14"/>
  <c r="D21" i="21"/>
  <c r="M21" i="17"/>
  <c r="G46" i="14"/>
  <c r="G49" i="14" s="1"/>
  <c r="M24" i="14"/>
  <c r="G46" i="22"/>
  <c r="G49" i="22" s="1"/>
  <c r="M21" i="22"/>
  <c r="M22" i="22"/>
  <c r="G14" i="16"/>
  <c r="U14" i="16"/>
  <c r="U46" i="14"/>
  <c r="R14" i="23" l="1"/>
  <c r="T14" i="23" s="1"/>
  <c r="V14" i="23" s="1"/>
  <c r="Y14" i="23" s="1"/>
  <c r="J14" i="23" s="1"/>
  <c r="L14" i="23" s="1"/>
  <c r="G14" i="23"/>
  <c r="T21" i="25"/>
  <c r="R46" i="25"/>
  <c r="G46" i="25"/>
  <c r="G49" i="25" s="1"/>
  <c r="T22" i="24"/>
  <c r="V22" i="24" s="1"/>
  <c r="U21" i="23"/>
  <c r="U47" i="23" s="1"/>
  <c r="E47" i="23"/>
  <c r="E50" i="23" s="1"/>
  <c r="M46" i="14"/>
  <c r="M49" i="14" s="1"/>
  <c r="R26" i="17"/>
  <c r="T26" i="17" s="1"/>
  <c r="D26" i="16"/>
  <c r="G26" i="17"/>
  <c r="D26" i="24" s="1"/>
  <c r="M14" i="16"/>
  <c r="G22" i="21"/>
  <c r="R22" i="21"/>
  <c r="T22" i="21" s="1"/>
  <c r="V22" i="21" s="1"/>
  <c r="M14" i="20"/>
  <c r="R24" i="17"/>
  <c r="D46" i="17"/>
  <c r="D49" i="17" s="1"/>
  <c r="D24" i="16"/>
  <c r="G24" i="17"/>
  <c r="D24" i="24" s="1"/>
  <c r="R21" i="21"/>
  <c r="G21" i="21"/>
  <c r="R32" i="16"/>
  <c r="T32" i="16" s="1"/>
  <c r="G32" i="16"/>
  <c r="R25" i="17"/>
  <c r="T25" i="17" s="1"/>
  <c r="D25" i="16"/>
  <c r="G25" i="17"/>
  <c r="D25" i="24" s="1"/>
  <c r="Y22" i="21" l="1"/>
  <c r="V22" i="20"/>
  <c r="M14" i="23"/>
  <c r="T46" i="25"/>
  <c r="V21" i="25"/>
  <c r="G25" i="24"/>
  <c r="R25" i="24"/>
  <c r="T25" i="24" s="1"/>
  <c r="V25" i="24" s="1"/>
  <c r="Y25" i="24" s="1"/>
  <c r="J25" i="24" s="1"/>
  <c r="G24" i="24"/>
  <c r="R24" i="24"/>
  <c r="D46" i="24"/>
  <c r="D49" i="24" s="1"/>
  <c r="R26" i="24"/>
  <c r="T26" i="24" s="1"/>
  <c r="V26" i="24" s="1"/>
  <c r="G26" i="24"/>
  <c r="R36" i="16"/>
  <c r="T36" i="16" s="1"/>
  <c r="G36" i="16"/>
  <c r="R24" i="16"/>
  <c r="D47" i="16"/>
  <c r="D26" i="21"/>
  <c r="M26" i="17"/>
  <c r="D25" i="21"/>
  <c r="M25" i="17"/>
  <c r="T21" i="21"/>
  <c r="V21" i="21" s="1"/>
  <c r="R26" i="16"/>
  <c r="T26" i="16" s="1"/>
  <c r="D24" i="21"/>
  <c r="M24" i="17"/>
  <c r="G46" i="17"/>
  <c r="G49" i="17" s="1"/>
  <c r="D32" i="20"/>
  <c r="T24" i="17"/>
  <c r="T46" i="17" s="1"/>
  <c r="R46" i="17"/>
  <c r="R25" i="16"/>
  <c r="T25" i="16" s="1"/>
  <c r="J22" i="21" l="1"/>
  <c r="L22" i="21" s="1"/>
  <c r="Y22" i="20"/>
  <c r="J22" i="20" s="1"/>
  <c r="L22" i="20" s="1"/>
  <c r="I22" i="23" s="1"/>
  <c r="G46" i="24"/>
  <c r="G49" i="24" s="1"/>
  <c r="M46" i="17"/>
  <c r="M49" i="17" s="1"/>
  <c r="T24" i="24"/>
  <c r="R46" i="24"/>
  <c r="G24" i="21"/>
  <c r="R24" i="21"/>
  <c r="D46" i="21"/>
  <c r="D49" i="21" s="1"/>
  <c r="R26" i="21"/>
  <c r="T26" i="21" s="1"/>
  <c r="V26" i="21" s="1"/>
  <c r="Y26" i="21" s="1"/>
  <c r="G26" i="21"/>
  <c r="T24" i="16"/>
  <c r="T47" i="16" s="1"/>
  <c r="R47" i="16"/>
  <c r="R32" i="20"/>
  <c r="T32" i="20" s="1"/>
  <c r="V32" i="20" s="1"/>
  <c r="Y32" i="20" s="1"/>
  <c r="J32" i="20" s="1"/>
  <c r="G32" i="20"/>
  <c r="D32" i="23" s="1"/>
  <c r="D36" i="20"/>
  <c r="G25" i="21"/>
  <c r="R25" i="21"/>
  <c r="T25" i="21" s="1"/>
  <c r="V25" i="21" s="1"/>
  <c r="Y25" i="21" l="1"/>
  <c r="V25" i="20"/>
  <c r="I22" i="24"/>
  <c r="M22" i="21"/>
  <c r="T46" i="24"/>
  <c r="V24" i="24"/>
  <c r="G32" i="23"/>
  <c r="R32" i="23"/>
  <c r="T32" i="23" s="1"/>
  <c r="V32" i="23" s="1"/>
  <c r="R36" i="20"/>
  <c r="T36" i="20" s="1"/>
  <c r="V36" i="20" s="1"/>
  <c r="Y36" i="20" s="1"/>
  <c r="J36" i="20" s="1"/>
  <c r="G36" i="20"/>
  <c r="T24" i="21"/>
  <c r="R46" i="21"/>
  <c r="G46" i="21"/>
  <c r="G49" i="21" s="1"/>
  <c r="T46" i="21" l="1"/>
  <c r="V24" i="21"/>
  <c r="Y24" i="21" s="1"/>
  <c r="D36" i="23"/>
  <c r="Y32" i="23"/>
  <c r="J32" i="23" s="1"/>
  <c r="Z32" i="23"/>
  <c r="R36" i="23" l="1"/>
  <c r="T36" i="23" s="1"/>
  <c r="V36" i="23" s="1"/>
  <c r="Y36" i="23" s="1"/>
  <c r="J36" i="23" s="1"/>
  <c r="G36" i="23"/>
  <c r="U26" i="13" l="1"/>
  <c r="G26" i="13"/>
  <c r="M26" i="13" s="1"/>
  <c r="G25" i="13" l="1"/>
  <c r="M25" i="13" s="1"/>
  <c r="U25" i="13"/>
  <c r="U24" i="13" l="1"/>
  <c r="U47" i="13" s="1"/>
  <c r="G24" i="13"/>
  <c r="E47" i="13"/>
  <c r="M24" i="13" l="1"/>
  <c r="G47" i="13"/>
  <c r="E48" i="13" l="1"/>
  <c r="F50" i="13"/>
  <c r="G48" i="13" l="1"/>
  <c r="E50" i="13"/>
  <c r="G24" i="16" l="1"/>
  <c r="U25" i="16"/>
  <c r="U26" i="16"/>
  <c r="U23" i="16"/>
  <c r="G23" i="16"/>
  <c r="U24" i="16"/>
  <c r="U22" i="16"/>
  <c r="G22" i="16"/>
  <c r="D48" i="16"/>
  <c r="D50" i="16" s="1"/>
  <c r="G50" i="13"/>
  <c r="G26" i="16" l="1"/>
  <c r="M26" i="16" s="1"/>
  <c r="G25" i="16"/>
  <c r="D25" i="20" s="1"/>
  <c r="D23" i="20"/>
  <c r="M23" i="16"/>
  <c r="G21" i="16"/>
  <c r="U21" i="16"/>
  <c r="D22" i="20"/>
  <c r="M22" i="16"/>
  <c r="D24" i="20"/>
  <c r="M24" i="16"/>
  <c r="D26" i="20" l="1"/>
  <c r="R26" i="20" s="1"/>
  <c r="T26" i="20" s="1"/>
  <c r="M25" i="16"/>
  <c r="G23" i="20"/>
  <c r="R23" i="20"/>
  <c r="T23" i="20" s="1"/>
  <c r="G22" i="20"/>
  <c r="R22" i="20"/>
  <c r="T22" i="20" s="1"/>
  <c r="R24" i="20"/>
  <c r="T24" i="20" s="1"/>
  <c r="G24" i="20"/>
  <c r="G26" i="20"/>
  <c r="E48" i="16"/>
  <c r="G48" i="16" s="1"/>
  <c r="F50" i="16"/>
  <c r="R25" i="20"/>
  <c r="T25" i="20" s="1"/>
  <c r="G25" i="20"/>
  <c r="D21" i="20"/>
  <c r="M21" i="16"/>
  <c r="M22" i="20" l="1"/>
  <c r="D22" i="23"/>
  <c r="D26" i="23"/>
  <c r="D24" i="23"/>
  <c r="M23" i="20"/>
  <c r="D23" i="23"/>
  <c r="D25" i="23"/>
  <c r="R21" i="20"/>
  <c r="G21" i="20"/>
  <c r="D21" i="23" s="1"/>
  <c r="G23" i="23" l="1"/>
  <c r="R23" i="23"/>
  <c r="T23" i="23" s="1"/>
  <c r="V23" i="23" s="1"/>
  <c r="Y23" i="23" s="1"/>
  <c r="G21" i="23"/>
  <c r="R21" i="23"/>
  <c r="T21" i="23" s="1"/>
  <c r="V21" i="23" s="1"/>
  <c r="Y21" i="23" s="1"/>
  <c r="G24" i="23"/>
  <c r="R24" i="23"/>
  <c r="T24" i="23" s="1"/>
  <c r="V24" i="23" s="1"/>
  <c r="Y24" i="23" s="1"/>
  <c r="G26" i="23"/>
  <c r="R26" i="23"/>
  <c r="T26" i="23" s="1"/>
  <c r="V26" i="23" s="1"/>
  <c r="Y26" i="23" s="1"/>
  <c r="G25" i="23"/>
  <c r="R25" i="23"/>
  <c r="T25" i="23" s="1"/>
  <c r="Y25" i="23" s="1"/>
  <c r="G22" i="23"/>
  <c r="R22" i="23"/>
  <c r="T22" i="23" s="1"/>
  <c r="V22" i="23" s="1"/>
  <c r="Y22" i="23" s="1"/>
  <c r="T21" i="20"/>
  <c r="U34" i="20" l="1"/>
  <c r="E47" i="20"/>
  <c r="E50" i="20" s="1"/>
  <c r="U35" i="20"/>
  <c r="G35" i="20"/>
  <c r="M35" i="20" l="1"/>
  <c r="D35" i="23"/>
  <c r="U47" i="20"/>
  <c r="R35" i="23" l="1"/>
  <c r="T35" i="23" s="1"/>
  <c r="V35" i="23" s="1"/>
  <c r="Y35" i="23" s="1"/>
  <c r="J35" i="23" s="1"/>
  <c r="L35" i="23" s="1"/>
  <c r="G35" i="23"/>
  <c r="M35" i="23" l="1"/>
  <c r="Y26" i="25" l="1"/>
  <c r="Y24" i="25"/>
  <c r="J24" i="25" s="1"/>
  <c r="Y23" i="25"/>
  <c r="J23" i="25" s="1"/>
  <c r="L23" i="25" s="1"/>
  <c r="M23" i="25" s="1"/>
  <c r="Y22" i="25"/>
  <c r="J22" i="25" s="1"/>
  <c r="L22" i="25" s="1"/>
  <c r="M22" i="25" s="1"/>
  <c r="Y21" i="25"/>
  <c r="V46" i="25"/>
  <c r="J25" i="23" l="1"/>
  <c r="Y46" i="25"/>
  <c r="J26" i="25"/>
  <c r="J25" i="25"/>
  <c r="J21" i="25"/>
  <c r="J46" i="25" l="1"/>
  <c r="J49" i="25" s="1"/>
  <c r="J51" i="25" s="1"/>
  <c r="J59" i="25" s="1"/>
  <c r="L21" i="25"/>
  <c r="M21" i="25" l="1"/>
  <c r="J23" i="23"/>
  <c r="L23" i="23" s="1"/>
  <c r="M23" i="23" s="1"/>
  <c r="Y22" i="24"/>
  <c r="J22" i="23" s="1"/>
  <c r="L22" i="23" s="1"/>
  <c r="M22" i="23" s="1"/>
  <c r="V46" i="24"/>
  <c r="Y26" i="24"/>
  <c r="J26" i="23" s="1"/>
  <c r="Y23" i="24"/>
  <c r="J23" i="24" s="1"/>
  <c r="L23" i="24" s="1"/>
  <c r="M23" i="24" s="1"/>
  <c r="Y24" i="24"/>
  <c r="J24" i="24" s="1"/>
  <c r="J24" i="23"/>
  <c r="J21" i="23"/>
  <c r="Y21" i="24"/>
  <c r="J21" i="24" s="1"/>
  <c r="J22" i="24" l="1"/>
  <c r="Y46" i="24"/>
  <c r="J26" i="24"/>
  <c r="J46" i="24" l="1"/>
  <c r="J49" i="24" s="1"/>
  <c r="J51" i="24" s="1"/>
  <c r="J59" i="24" s="1"/>
  <c r="L22" i="24"/>
  <c r="M22" i="24" l="1"/>
  <c r="G37" i="16" l="1"/>
  <c r="U37" i="16"/>
  <c r="M37" i="16" l="1"/>
  <c r="D37" i="20"/>
  <c r="R37" i="20" l="1"/>
  <c r="T37" i="20" s="1"/>
  <c r="V37" i="20" s="1"/>
  <c r="Y37" i="20" s="1"/>
  <c r="J37" i="20" s="1"/>
  <c r="L37" i="20" s="1"/>
  <c r="I37" i="23" s="1"/>
  <c r="G37" i="20"/>
  <c r="M37" i="20" l="1"/>
  <c r="D37" i="23"/>
  <c r="G37" i="23" l="1"/>
  <c r="R37" i="23"/>
  <c r="T37" i="23" s="1"/>
  <c r="V37" i="23" s="1"/>
  <c r="Y37" i="23" s="1"/>
  <c r="J37" i="23" s="1"/>
  <c r="L37" i="23" s="1"/>
  <c r="M37" i="23" l="1"/>
  <c r="U34" i="16"/>
  <c r="U47" i="16" s="1"/>
  <c r="G34" i="16" l="1"/>
  <c r="E47" i="16"/>
  <c r="E50" i="16" s="1"/>
  <c r="D34" i="20" l="1"/>
  <c r="M34" i="16"/>
  <c r="G47" i="16"/>
  <c r="G50" i="16" s="1"/>
  <c r="R34" i="20" l="1"/>
  <c r="D47" i="20"/>
  <c r="D50" i="20" s="1"/>
  <c r="G34" i="20"/>
  <c r="G47" i="20" l="1"/>
  <c r="G50" i="20" s="1"/>
  <c r="D34" i="23"/>
  <c r="R47" i="20"/>
  <c r="T34" i="20"/>
  <c r="T47" i="20" l="1"/>
  <c r="V34" i="20"/>
  <c r="Y34" i="20" s="1"/>
  <c r="J34" i="20" s="1"/>
  <c r="L34" i="20" s="1"/>
  <c r="D47" i="23"/>
  <c r="D50" i="23" s="1"/>
  <c r="R34" i="23"/>
  <c r="G34" i="23"/>
  <c r="I34" i="23" l="1"/>
  <c r="M34" i="20"/>
  <c r="G47" i="23"/>
  <c r="G50" i="23" s="1"/>
  <c r="R47" i="23"/>
  <c r="T34" i="23"/>
  <c r="T47" i="23" l="1"/>
  <c r="V34" i="23"/>
  <c r="Y34" i="23" l="1"/>
  <c r="V47" i="23"/>
  <c r="J34" i="23" l="1"/>
  <c r="L34" i="23" l="1"/>
  <c r="M34" i="23" l="1"/>
  <c r="J44" i="20" l="1"/>
  <c r="J44" i="23" l="1"/>
  <c r="J47" i="23" s="1"/>
  <c r="J50" i="23" s="1"/>
  <c r="J52" i="23" s="1"/>
  <c r="J60" i="23" s="1"/>
  <c r="Y47" i="23"/>
  <c r="J26" i="21" l="1"/>
  <c r="L26" i="21" s="1"/>
  <c r="Y26" i="20"/>
  <c r="J26" i="20" s="1"/>
  <c r="L26" i="20" s="1"/>
  <c r="J26" i="22"/>
  <c r="L26" i="22" s="1"/>
  <c r="J25" i="22"/>
  <c r="L25" i="22" s="1"/>
  <c r="J25" i="21"/>
  <c r="L25" i="21" s="1"/>
  <c r="Y25" i="20"/>
  <c r="J25" i="20" s="1"/>
  <c r="L25" i="20" s="1"/>
  <c r="J24" i="21" l="1"/>
  <c r="Y24" i="20"/>
  <c r="I26" i="25"/>
  <c r="L26" i="25" s="1"/>
  <c r="M26" i="25" s="1"/>
  <c r="M26" i="22"/>
  <c r="I25" i="24"/>
  <c r="L25" i="24" s="1"/>
  <c r="M25" i="24" s="1"/>
  <c r="M25" i="21"/>
  <c r="I26" i="23"/>
  <c r="L26" i="23" s="1"/>
  <c r="M26" i="23" s="1"/>
  <c r="M26" i="20"/>
  <c r="I25" i="23"/>
  <c r="L25" i="23" s="1"/>
  <c r="M25" i="20"/>
  <c r="I26" i="24"/>
  <c r="L26" i="24" s="1"/>
  <c r="M26" i="24" s="1"/>
  <c r="M26" i="21"/>
  <c r="M25" i="22"/>
  <c r="I25" i="25"/>
  <c r="L25" i="25" s="1"/>
  <c r="M25" i="25" s="1"/>
  <c r="V26" i="20"/>
  <c r="J24" i="22"/>
  <c r="Y46" i="22"/>
  <c r="M25" i="23" l="1"/>
  <c r="V46" i="22"/>
  <c r="V24" i="20"/>
  <c r="J24" i="20"/>
  <c r="L24" i="21"/>
  <c r="L24" i="22"/>
  <c r="J46" i="22"/>
  <c r="J49" i="22" s="1"/>
  <c r="J51" i="22" s="1"/>
  <c r="J59" i="22" s="1"/>
  <c r="L24" i="20" l="1"/>
  <c r="I24" i="25"/>
  <c r="L46" i="22"/>
  <c r="L49" i="22" s="1"/>
  <c r="M24" i="22"/>
  <c r="M46" i="22" s="1"/>
  <c r="M49" i="22" s="1"/>
  <c r="I24" i="24"/>
  <c r="M24" i="21"/>
  <c r="L24" i="24" l="1"/>
  <c r="I46" i="25"/>
  <c r="I49" i="25" s="1"/>
  <c r="L24" i="25"/>
  <c r="I24" i="23"/>
  <c r="M24" i="20"/>
  <c r="L24" i="23" l="1"/>
  <c r="M24" i="25"/>
  <c r="M46" i="25" s="1"/>
  <c r="M49" i="25" s="1"/>
  <c r="L46" i="25"/>
  <c r="L49" i="25" s="1"/>
  <c r="M24" i="24"/>
  <c r="M24" i="23" l="1"/>
  <c r="V21" i="20" l="1"/>
  <c r="V47" i="20" s="1"/>
  <c r="V46" i="21"/>
  <c r="Y21" i="21"/>
  <c r="Y21" i="20" s="1"/>
  <c r="J21" i="21" l="1"/>
  <c r="Y46" i="21"/>
  <c r="J21" i="20"/>
  <c r="Y47" i="20"/>
  <c r="J47" i="20"/>
  <c r="J50" i="20" s="1"/>
  <c r="J52" i="20" s="1"/>
  <c r="J60" i="20" s="1"/>
  <c r="L21" i="20"/>
  <c r="J46" i="21" l="1"/>
  <c r="J49" i="21" s="1"/>
  <c r="J51" i="21" s="1"/>
  <c r="J59" i="21" s="1"/>
  <c r="L21" i="21"/>
  <c r="M21" i="20"/>
  <c r="I21" i="23"/>
  <c r="L46" i="21" l="1"/>
  <c r="L49" i="21" s="1"/>
  <c r="M21" i="21"/>
  <c r="M46" i="21" s="1"/>
  <c r="M49" i="21" s="1"/>
  <c r="I21" i="24"/>
  <c r="L21" i="23"/>
  <c r="I46" i="24" l="1"/>
  <c r="I49" i="24" s="1"/>
  <c r="L21" i="24"/>
  <c r="M21" i="23"/>
  <c r="L46" i="24" l="1"/>
  <c r="L49" i="24" s="1"/>
  <c r="M21" i="24"/>
  <c r="M46" i="24" s="1"/>
  <c r="M49" i="24" s="1"/>
  <c r="Y47" i="16"/>
  <c r="J44" i="16"/>
  <c r="L44" i="16" s="1"/>
  <c r="I44" i="20" s="1"/>
  <c r="J47" i="16" l="1"/>
  <c r="J50" i="16" s="1"/>
  <c r="J52" i="16" s="1"/>
  <c r="J60" i="16" s="1"/>
  <c r="L44" i="20" l="1"/>
  <c r="M44" i="16"/>
  <c r="I44" i="23" l="1"/>
  <c r="L44" i="23" s="1"/>
  <c r="M44" i="23" s="1"/>
  <c r="M44" i="20"/>
  <c r="J36" i="13" l="1"/>
  <c r="L36" i="13" s="1"/>
  <c r="V36" i="13"/>
  <c r="V47" i="13" s="1"/>
  <c r="Y47" i="13"/>
  <c r="J32" i="13"/>
  <c r="J47" i="13" l="1"/>
  <c r="J50" i="13" s="1"/>
  <c r="J52" i="13" s="1"/>
  <c r="J60" i="13" s="1"/>
  <c r="L32" i="13"/>
  <c r="I36" i="16"/>
  <c r="L36" i="16" s="1"/>
  <c r="M36" i="13"/>
  <c r="L47" i="13" l="1"/>
  <c r="L50" i="13" s="1"/>
  <c r="I32" i="16"/>
  <c r="M32" i="13"/>
  <c r="M47" i="13" s="1"/>
  <c r="M50" i="13" s="1"/>
  <c r="I36" i="20"/>
  <c r="L36" i="20" s="1"/>
  <c r="M36" i="16"/>
  <c r="M36" i="20" l="1"/>
  <c r="I36" i="23"/>
  <c r="L36" i="23" s="1"/>
  <c r="M36" i="23" s="1"/>
  <c r="I47" i="16"/>
  <c r="I50" i="16" s="1"/>
  <c r="L32" i="16"/>
  <c r="I32" i="20" l="1"/>
  <c r="M32" i="16"/>
  <c r="M47" i="16" s="1"/>
  <c r="M50" i="16" s="1"/>
  <c r="L47" i="16"/>
  <c r="L50" i="16" s="1"/>
  <c r="L32" i="20" l="1"/>
  <c r="I47" i="20"/>
  <c r="I50" i="20" s="1"/>
  <c r="I32" i="23" l="1"/>
  <c r="M32" i="20"/>
  <c r="M47" i="20" s="1"/>
  <c r="M50" i="20" s="1"/>
  <c r="L47" i="20"/>
  <c r="L50" i="20" s="1"/>
  <c r="L32" i="23" l="1"/>
  <c r="I47" i="23"/>
  <c r="I50" i="23" s="1"/>
  <c r="M32" i="23" l="1"/>
  <c r="M47" i="23" s="1"/>
  <c r="M50" i="23" s="1"/>
  <c r="L47" i="23"/>
  <c r="L50" i="23" s="1"/>
</calcChain>
</file>

<file path=xl/sharedStrings.xml><?xml version="1.0" encoding="utf-8"?>
<sst xmlns="http://schemas.openxmlformats.org/spreadsheetml/2006/main" count="2640" uniqueCount="150">
  <si>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</si>
  <si>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</si>
  <si>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</si>
  <si>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</si>
  <si>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</si>
  <si>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</si>
  <si>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</si>
  <si>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</si>
  <si>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</si>
  <si>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</si>
  <si>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</si>
  <si>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</si>
  <si>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</si>
  <si>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</si>
  <si>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</si>
  <si>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</si>
  <si>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</si>
  <si>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</si>
  <si>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</si>
  <si>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</si>
  <si>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</si>
  <si>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</si>
  <si>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</si>
  <si>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</si>
  <si>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</si>
  <si>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</si>
  <si>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</si>
  <si>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</si>
  <si>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</si>
  <si>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</si>
  <si>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</si>
  <si>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</si>
  <si>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</si>
  <si>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</si>
  <si>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</si>
  <si>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</si>
  <si>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</si>
  <si>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</si>
  <si>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</si>
  <si>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</si>
  <si>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</si>
  <si>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</si>
  <si>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</si>
  <si>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</si>
  <si>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</si>
  <si>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</si>
  <si>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</si>
  <si>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</si>
  <si>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</si>
  <si>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</si>
  <si>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</si>
  <si>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</si>
  <si>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</si>
  <si>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</si>
  <si>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</si>
  <si>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</si>
  <si>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</si>
  <si>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</si>
  <si>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</si>
  <si>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</si>
  <si>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</si>
  <si>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</si>
  <si>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</si>
  <si>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</si>
  <si>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</si>
  <si>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</si>
  <si>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</si>
  <si>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</si>
  <si>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</si>
  <si>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</si>
  <si>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</si>
  <si>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</si>
  <si>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</si>
  <si>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</si>
  <si>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</si>
  <si>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</si>
  <si>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</si>
  <si>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</si>
  <si>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</si>
  <si>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</si>
  <si>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</si>
  <si>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</si>
  <si>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</si>
  <si>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</si>
  <si>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</si>
  <si>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</si>
  <si>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</si>
  <si>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</si>
  <si>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</si>
  <si>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</si>
  <si>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</si>
  <si>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Summary Tables</t>
  </si>
  <si>
    <t>Detailed Calculations: 12-Month Average Approach for Rate Base</t>
  </si>
  <si>
    <t>2022 Ending Gross Assets ($000's)</t>
  </si>
  <si>
    <t>Gross Assets ($000's)</t>
  </si>
  <si>
    <t>OEB Account and Description</t>
  </si>
  <si>
    <t>Line to Pickle Lake
(UTR Network Rate)</t>
  </si>
  <si>
    <t>Remote Connection Lines
(H1RCI Rate)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</si>
  <si>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</si>
  <si>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</si>
  <si>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</si>
  <si>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</si>
  <si>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</si>
  <si>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</si>
  <si>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</si>
  <si>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</si>
  <si>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</si>
  <si>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</si>
  <si>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</si>
  <si>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</si>
  <si>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</si>
  <si>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1715 - Station Equipment (Station and Transformers)</t>
  </si>
  <si>
    <t>LTPL</t>
  </si>
  <si>
    <t>Opening</t>
  </si>
  <si>
    <t>1715A - Station Equipment (Switches and Breakers)</t>
  </si>
  <si>
    <t>1715B - Station Equipment (Protection and Control)</t>
  </si>
  <si>
    <t>Closing</t>
  </si>
  <si>
    <t>1720 - Towers and Fixtures</t>
  </si>
  <si>
    <t>Average</t>
  </si>
  <si>
    <t>1725 - Poles and Fixtures</t>
  </si>
  <si>
    <t>1730 - OH Conductor and Devices</t>
  </si>
  <si>
    <t>RCL</t>
  </si>
  <si>
    <t>Sub-Total Transmission System Plant</t>
  </si>
  <si>
    <t>1930 - Transportation Equipment</t>
  </si>
  <si>
    <t>GP</t>
  </si>
  <si>
    <t>2022 Ending Accumulated Depreciation ($000's)</t>
  </si>
  <si>
    <t>Accumulated Depreciation ($000's)</t>
  </si>
  <si>
    <t>12-Month Averages for Determination of 2022 Rate Base</t>
  </si>
  <si>
    <t>Item</t>
  </si>
  <si>
    <t>2022 12-Month Average ($000's)</t>
  </si>
  <si>
    <t>Gross Fixed Assets</t>
  </si>
  <si>
    <t>Less Accumulated Depreciation</t>
  </si>
  <si>
    <t>Net Fixed Assets</t>
  </si>
  <si>
    <t>Gross Assets  by Account ($000's)</t>
  </si>
  <si>
    <t>% Allocation of General Plant to LTPL and RCL</t>
  </si>
  <si>
    <t>LTPL Opening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</si>
  <si>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</si>
  <si>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</si>
  <si>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</si>
  <si>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</si>
  <si>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</si>
  <si>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</si>
  <si>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</si>
  <si>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</si>
  <si>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</si>
  <si>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</si>
  <si>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</si>
  <si>
    <t>Note 1</t>
  </si>
  <si>
    <t xml:space="preserve">Note 1: Contribution useful life is based on the assets useful life the funds are allocated to. </t>
  </si>
  <si>
    <t xml:space="preserve">Note 1: Contribution useful life and depreciation rate is based on the assets useful life the funds are allocated 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</si>
</sst>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;\(0\);&quot;-&quot;"/>
    <numFmt numFmtId="167" formatCode="_-* #,##0_-;\-* #,##0_-;_-* &quot;-&quot;??_-;_-@_-"/>
    <numFmt numFmtId="168" formatCode="0.0%"/>
    <numFmt numFmtId="169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1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10" fontId="4" fillId="0" borderId="0" xfId="2" applyNumberFormat="1" applyFont="1" applyAlignment="1">
      <alignment horizontal="center"/>
    </xf>
    <xf numFmtId="165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5" fontId="4" fillId="3" borderId="2" xfId="1" applyNumberFormat="1" applyFont="1" applyFill="1" applyBorder="1"/>
    <xf numFmtId="165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5" fontId="5" fillId="0" borderId="2" xfId="1" applyNumberFormat="1" applyFont="1" applyBorder="1"/>
    <xf numFmtId="0" fontId="5" fillId="0" borderId="8" xfId="0" applyFont="1" applyBorder="1"/>
    <xf numFmtId="165" fontId="5" fillId="4" borderId="2" xfId="1" applyNumberFormat="1" applyFont="1" applyFill="1" applyBorder="1"/>
    <xf numFmtId="165" fontId="4" fillId="0" borderId="0" xfId="1" applyNumberFormat="1" applyFont="1" applyBorder="1"/>
    <xf numFmtId="0" fontId="5" fillId="0" borderId="0" xfId="0" applyFont="1" applyAlignment="1">
      <alignment horizontal="left"/>
    </xf>
    <xf numFmtId="165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5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5" fontId="4" fillId="3" borderId="2" xfId="0" applyNumberFormat="1" applyFont="1" applyFill="1" applyBorder="1"/>
    <xf numFmtId="165" fontId="5" fillId="4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/>
    <xf numFmtId="0" fontId="7" fillId="0" borderId="0" xfId="5" applyFont="1"/>
    <xf numFmtId="0" fontId="7" fillId="0" borderId="0" xfId="5" applyFont="1" applyAlignment="1">
      <alignment wrapText="1"/>
    </xf>
    <xf numFmtId="166" fontId="4" fillId="3" borderId="2" xfId="1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0" fontId="4" fillId="0" borderId="5" xfId="0" applyFont="1" applyBorder="1"/>
    <xf numFmtId="0" fontId="11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/>
    <xf numFmtId="0" fontId="9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167" fontId="4" fillId="0" borderId="2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168" fontId="14" fillId="0" borderId="0" xfId="2" applyNumberFormat="1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169" fontId="4" fillId="0" borderId="0" xfId="0" applyNumberFormat="1" applyFont="1"/>
    <xf numFmtId="164" fontId="4" fillId="0" borderId="0" xfId="1" applyFont="1"/>
    <xf numFmtId="0" fontId="4" fillId="0" borderId="0" xfId="0" applyFont="1" applyAlignment="1">
      <alignment horizontal="left"/>
    </xf>
    <xf numFmtId="0" fontId="3" fillId="2" borderId="2" xfId="3" applyFont="1" applyFill="1" applyBorder="1" applyAlignment="1">
      <alignment horizontal="center" vertical="center" wrapText="1"/>
    </xf>
    <xf numFmtId="0" fontId="3" fillId="2" borderId="16" xfId="3" applyFont="1" applyFill="1" applyBorder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15" xfId="3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workbookViewId="0">
      <pane xSplit="3" ySplit="10" topLeftCell="D32" activePane="bottomRight" state="frozen"/>
      <selection activeCell="U54" sqref="U54"/>
      <selection pane="topRight" activeCell="U54" sqref="U54"/>
      <selection pane="bottomLeft" activeCell="U54" sqref="U54"/>
      <selection pane="bottomRight" activeCell="D47" sqref="D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1.28515625" style="1" customWidth="1"/>
    <col min="6" max="6" width="7.7109375" style="1" customWidth="1"/>
    <col min="7" max="7" width="12.85546875" style="1" customWidth="1"/>
    <col min="8" max="8" width="5.5703125" style="2" customWidth="1"/>
    <col min="9" max="9" width="12.85546875" style="1" customWidth="1"/>
    <col min="10" max="10" width="9" style="1" customWidth="1"/>
    <col min="11" max="11" width="7.7109375" style="1" customWidth="1"/>
    <col min="12" max="12" width="12" style="1" customWidth="1"/>
    <col min="13" max="13" width="10.5703125" style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0.7109375" style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3" t="s">
        <v>84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75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2021</v>
      </c>
      <c r="S5" s="48" t="s">
        <v>74</v>
      </c>
      <c r="T5" s="41">
        <f>F5</f>
        <v>2021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42">
        <v>47</v>
      </c>
      <c r="P21" s="42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42">
        <v>47</v>
      </c>
      <c r="P22" s="42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42">
        <v>47</v>
      </c>
      <c r="P23" s="42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42">
        <v>47</v>
      </c>
      <c r="P24" s="42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42">
        <v>47</v>
      </c>
      <c r="P26" s="42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45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46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2">
      <c r="A47" s="42"/>
      <c r="B47" s="44">
        <v>2055</v>
      </c>
      <c r="C47" s="20" t="s">
        <v>59</v>
      </c>
      <c r="D47" s="15">
        <v>480758955</v>
      </c>
      <c r="E47" s="15">
        <v>756606186.69968772</v>
      </c>
      <c r="F47" s="15">
        <v>0</v>
      </c>
      <c r="G47" s="16">
        <f t="shared" ref="G47:G48" si="25">SUM(D47:F47)</f>
        <v>1237365141.6996877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480758955</v>
      </c>
      <c r="E49" s="16">
        <f>SUM(E46:E48)</f>
        <v>756606186.69968772</v>
      </c>
      <c r="F49" s="16">
        <f>SUM(F46:F48)</f>
        <v>0</v>
      </c>
      <c r="G49" s="16">
        <f>SUM(G46:G48)</f>
        <v>1237365141.6996877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30:C30"/>
    <mergeCell ref="D30:M30"/>
    <mergeCell ref="O30:Q30"/>
    <mergeCell ref="C50:I50"/>
    <mergeCell ref="C51:I51"/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</mergeCells>
  <pageMargins left="0.7" right="0.7" top="0.75" bottom="0.75" header="0.3" footer="0.3"/>
  <pageSetup orientation="landscape" r:id="rId1"/>
  <headerFooter>
    <oddFooter>&amp;L&amp;"Times New Roman,Regular"&amp;8 53141182.2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F2DE-E987-4118-A7E0-28BBE3076BA6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M16" activePane="bottomRight" state="frozen"/>
      <selection activeCell="V12" sqref="V12"/>
      <selection pane="topRight" activeCell="V12" sqref="V12"/>
      <selection pane="bottomLeft" activeCell="V12" sqref="V12"/>
      <selection pane="bottomRight" activeCell="D17" sqref="D17:D29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3" t="s">
        <v>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2024</v>
      </c>
      <c r="T5" s="48" t="s">
        <v>74</v>
      </c>
      <c r="U5" s="41">
        <f>F5</f>
        <v>2024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36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36181130.990000002</v>
      </c>
      <c r="E21" s="15">
        <v>9525670.509999983</v>
      </c>
      <c r="F21" s="15">
        <v>0</v>
      </c>
      <c r="G21" s="16">
        <f t="shared" si="9"/>
        <v>45706801.499999985</v>
      </c>
      <c r="H21" s="38">
        <f>'2024 Combined'!H21</f>
        <v>50</v>
      </c>
      <c r="I21" s="32">
        <v>962667.2899999998</v>
      </c>
      <c r="J21" s="30">
        <f t="shared" si="10"/>
        <v>898304.37000000011</v>
      </c>
      <c r="K21" s="32"/>
      <c r="L21" s="16">
        <f t="shared" si="11"/>
        <v>1860971.66</v>
      </c>
      <c r="M21" s="18">
        <f t="shared" si="12"/>
        <v>43845829.839999989</v>
      </c>
      <c r="O21" s="42">
        <v>47</v>
      </c>
      <c r="P21" s="42">
        <v>1715</v>
      </c>
      <c r="Q21" s="14" t="s">
        <v>14</v>
      </c>
      <c r="R21" s="18">
        <f t="shared" si="2"/>
        <v>36181130.990000002</v>
      </c>
      <c r="S21" s="32">
        <v>0</v>
      </c>
      <c r="T21" s="18">
        <f t="shared" si="3"/>
        <v>36181130.990000002</v>
      </c>
      <c r="U21" s="18">
        <f t="shared" si="4"/>
        <v>9525670.509999983</v>
      </c>
      <c r="V21" s="50">
        <f>+Y21/X21</f>
        <v>44915218.500000007</v>
      </c>
      <c r="W21" s="39">
        <f t="shared" si="14"/>
        <v>50</v>
      </c>
      <c r="X21" s="19">
        <f t="shared" si="15"/>
        <v>0.02</v>
      </c>
      <c r="Y21" s="18">
        <v>898304.37000000011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6211421.1399999997</v>
      </c>
      <c r="E22" s="15">
        <v>0</v>
      </c>
      <c r="F22" s="15">
        <v>0</v>
      </c>
      <c r="G22" s="16">
        <f t="shared" si="9"/>
        <v>6211421.1399999997</v>
      </c>
      <c r="H22" s="38">
        <f>'2024 Combined'!H22</f>
        <v>40</v>
      </c>
      <c r="I22" s="32">
        <v>206604.63999999998</v>
      </c>
      <c r="J22" s="30">
        <f t="shared" si="10"/>
        <v>155296.99000000002</v>
      </c>
      <c r="K22" s="32"/>
      <c r="L22" s="16">
        <f t="shared" si="11"/>
        <v>361901.63</v>
      </c>
      <c r="M22" s="18">
        <f t="shared" si="12"/>
        <v>5849519.5099999998</v>
      </c>
      <c r="O22" s="42">
        <v>47</v>
      </c>
      <c r="P22" s="42" t="s">
        <v>10</v>
      </c>
      <c r="Q22" s="14" t="s">
        <v>21</v>
      </c>
      <c r="R22" s="18">
        <f t="shared" si="2"/>
        <v>6211421.1399999997</v>
      </c>
      <c r="S22" s="32">
        <v>0</v>
      </c>
      <c r="T22" s="18">
        <f t="shared" si="3"/>
        <v>6211421.1399999997</v>
      </c>
      <c r="U22" s="18">
        <f t="shared" si="4"/>
        <v>0</v>
      </c>
      <c r="V22" s="50">
        <f t="shared" ref="V22:V26" si="17">+Y22/X22</f>
        <v>6211879.6000000006</v>
      </c>
      <c r="W22" s="39">
        <f t="shared" si="14"/>
        <v>40</v>
      </c>
      <c r="X22" s="19">
        <f t="shared" si="15"/>
        <v>2.5000000000000001E-2</v>
      </c>
      <c r="Y22" s="18">
        <v>155296.99000000002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1491469.7</v>
      </c>
      <c r="E23" s="15">
        <v>0</v>
      </c>
      <c r="F23" s="15">
        <v>0</v>
      </c>
      <c r="G23" s="16">
        <f t="shared" si="9"/>
        <v>1491469.7</v>
      </c>
      <c r="H23" s="38">
        <f>'2024 Combined'!H23</f>
        <v>20</v>
      </c>
      <c r="I23" s="32">
        <v>99340.53</v>
      </c>
      <c r="J23" s="30">
        <f t="shared" si="10"/>
        <v>74578.350000000006</v>
      </c>
      <c r="K23" s="32"/>
      <c r="L23" s="16">
        <f t="shared" si="11"/>
        <v>173918.88</v>
      </c>
      <c r="M23" s="18">
        <f>G23-L23</f>
        <v>1317550.8199999998</v>
      </c>
      <c r="O23" s="42">
        <v>47</v>
      </c>
      <c r="P23" s="42" t="s">
        <v>11</v>
      </c>
      <c r="Q23" s="14" t="s">
        <v>22</v>
      </c>
      <c r="R23" s="18">
        <f t="shared" si="2"/>
        <v>1491469.7</v>
      </c>
      <c r="S23" s="32">
        <v>0</v>
      </c>
      <c r="T23" s="18">
        <f t="shared" si="3"/>
        <v>1491469.7</v>
      </c>
      <c r="U23" s="18">
        <f t="shared" si="4"/>
        <v>0</v>
      </c>
      <c r="V23" s="50">
        <f t="shared" si="17"/>
        <v>1491567</v>
      </c>
      <c r="W23" s="39">
        <f t="shared" si="14"/>
        <v>20</v>
      </c>
      <c r="X23" s="19">
        <f t="shared" si="15"/>
        <v>0.05</v>
      </c>
      <c r="Y23" s="18">
        <v>74578.350000000006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112607524.87</v>
      </c>
      <c r="E24" s="15">
        <v>1814257.6599999964</v>
      </c>
      <c r="F24" s="15">
        <v>0</v>
      </c>
      <c r="G24" s="16">
        <f t="shared" si="9"/>
        <v>114421782.53</v>
      </c>
      <c r="H24" s="38">
        <f>'2024 Combined'!H24</f>
        <v>60</v>
      </c>
      <c r="I24" s="32">
        <v>2502389.4500000002</v>
      </c>
      <c r="J24" s="30">
        <f t="shared" si="10"/>
        <v>1904757.9299999988</v>
      </c>
      <c r="K24" s="32"/>
      <c r="L24" s="16">
        <f t="shared" si="11"/>
        <v>4407147.379999999</v>
      </c>
      <c r="M24" s="18">
        <f t="shared" ref="M24:M45" si="18">G24-L24</f>
        <v>110014635.15000001</v>
      </c>
      <c r="O24" s="42">
        <v>47</v>
      </c>
      <c r="P24" s="42">
        <v>1720</v>
      </c>
      <c r="Q24" s="14" t="s">
        <v>16</v>
      </c>
      <c r="R24" s="18">
        <f t="shared" si="2"/>
        <v>112607524.87</v>
      </c>
      <c r="S24" s="32">
        <v>0</v>
      </c>
      <c r="T24" s="18">
        <f t="shared" si="3"/>
        <v>112607524.87</v>
      </c>
      <c r="U24" s="18">
        <f t="shared" si="4"/>
        <v>1814257.6599999964</v>
      </c>
      <c r="V24" s="50">
        <f t="shared" si="17"/>
        <v>114285475.79999992</v>
      </c>
      <c r="W24" s="39">
        <f t="shared" si="14"/>
        <v>60</v>
      </c>
      <c r="X24" s="19">
        <f t="shared" si="15"/>
        <v>1.6666666666666666E-2</v>
      </c>
      <c r="Y24" s="18">
        <v>1904757.9299999988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134211114.39</v>
      </c>
      <c r="E26" s="15">
        <v>19249718.569999978</v>
      </c>
      <c r="F26" s="15">
        <v>0</v>
      </c>
      <c r="G26" s="16">
        <f t="shared" si="9"/>
        <v>153460832.95999998</v>
      </c>
      <c r="H26" s="38">
        <f>'2024 Combined'!H26</f>
        <v>45</v>
      </c>
      <c r="I26" s="32">
        <v>3976625.61</v>
      </c>
      <c r="J26" s="30">
        <f t="shared" si="10"/>
        <v>3374593.1100000003</v>
      </c>
      <c r="K26" s="32"/>
      <c r="L26" s="16">
        <f t="shared" si="11"/>
        <v>7351218.7200000007</v>
      </c>
      <c r="M26" s="18">
        <f t="shared" si="18"/>
        <v>146109614.23999998</v>
      </c>
      <c r="O26" s="42">
        <v>47</v>
      </c>
      <c r="P26" s="42">
        <v>1730</v>
      </c>
      <c r="Q26" s="14" t="s">
        <v>18</v>
      </c>
      <c r="R26" s="18">
        <f t="shared" si="2"/>
        <v>134211114.39</v>
      </c>
      <c r="S26" s="32">
        <v>0</v>
      </c>
      <c r="T26" s="18">
        <f t="shared" si="3"/>
        <v>134211114.39</v>
      </c>
      <c r="U26" s="18">
        <f t="shared" si="4"/>
        <v>19249718.569999978</v>
      </c>
      <c r="V26" s="50">
        <f t="shared" si="17"/>
        <v>151856689.95000002</v>
      </c>
      <c r="W26" s="39">
        <f t="shared" si="14"/>
        <v>45</v>
      </c>
      <c r="X26" s="19">
        <f t="shared" si="15"/>
        <v>2.2222222222222223E-2</v>
      </c>
      <c r="Y26" s="18">
        <v>3374593.1100000003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290702661.09000003</v>
      </c>
      <c r="E46" s="22">
        <f>SUM(E12:E15,E17:E29,E31:E45)</f>
        <v>30589646.739999957</v>
      </c>
      <c r="F46" s="22">
        <f>SUM(F12:F15,F17:F29,F31:F45)</f>
        <v>0</v>
      </c>
      <c r="G46" s="22">
        <f>SUM(G12:G15,G17:G29,G31:G45)</f>
        <v>321292307.82999998</v>
      </c>
      <c r="H46" s="33"/>
      <c r="I46" s="22">
        <f>SUM(I12:I15,I17:I29,I31:I45)</f>
        <v>7747627.5199999996</v>
      </c>
      <c r="J46" s="22">
        <f>SUM(J12:J15,J17:J29,J31:J45)</f>
        <v>6407530.7499999991</v>
      </c>
      <c r="K46" s="22">
        <f>SUM(K12:K15,K17:K29,K31:K45)</f>
        <v>0</v>
      </c>
      <c r="L46" s="22">
        <f>SUM(L12:L15,L17:L29,L31:L45)</f>
        <v>14155158.27</v>
      </c>
      <c r="M46" s="22">
        <f>SUM(M12:M15,M17:M29,M31:M45)</f>
        <v>307137149.55999994</v>
      </c>
      <c r="N46" s="23"/>
      <c r="O46" s="44"/>
      <c r="P46" s="44"/>
      <c r="Q46" s="20" t="s">
        <v>77</v>
      </c>
      <c r="R46" s="22">
        <f>SUM(R12:R15,R17:R29,R31:R45)</f>
        <v>290702661.09000003</v>
      </c>
      <c r="S46" s="22">
        <f>SUM(S12:S15,S17:S29,S31:S45)</f>
        <v>0</v>
      </c>
      <c r="T46" s="22">
        <f>SUM(T12:T15,T17:T29,T31:T45)</f>
        <v>290702661.09000003</v>
      </c>
      <c r="U46" s="22">
        <f>SUM(U12:U15,U17:U29,U31:U45)</f>
        <v>30589646.739999957</v>
      </c>
      <c r="V46" s="22">
        <f>SUM(V12:V15,V17:V29,V31:V45)</f>
        <v>318760830.8499999</v>
      </c>
      <c r="W46" s="24"/>
      <c r="X46" s="24"/>
      <c r="Y46" s="22">
        <f>SUM(Y12:Y15,Y17:Y29,Y31:Y44)</f>
        <v>6407530.7499999991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290702661.09000003</v>
      </c>
      <c r="E49" s="16">
        <f>SUM(E46:E48)</f>
        <v>30589646.739999957</v>
      </c>
      <c r="F49" s="16">
        <f>SUM(F46:F48)</f>
        <v>0</v>
      </c>
      <c r="G49" s="16">
        <f>SUM(G46:G48)</f>
        <v>321292307.82999998</v>
      </c>
      <c r="H49" s="33"/>
      <c r="I49" s="16">
        <f>SUM(I46:I48)</f>
        <v>7747627.5199999996</v>
      </c>
      <c r="J49" s="16">
        <f>SUM(J46:J48)</f>
        <v>6407530.7499999991</v>
      </c>
      <c r="K49" s="16">
        <f>SUM(K46:K48)</f>
        <v>0</v>
      </c>
      <c r="L49" s="16">
        <f>SUM(L46:L48)</f>
        <v>14155158.27</v>
      </c>
      <c r="M49" s="16">
        <f>SUM(M46:M48)</f>
        <v>307137149.55999994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6407530.7499999991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6407530.7499999991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&amp;REB-2025-0192</oddHeader>
    <oddFooter>&amp;L&amp;"Times New Roman,Regular"&amp;8 53141182.2</oddFooter>
  </headerFooter>
  <colBreaks count="1" manualBreakCount="1">
    <brk id="9" max="5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AF78-B679-46F5-8308-817157874A86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G16" activePane="bottomRight" state="frozen"/>
      <selection activeCell="V12" sqref="V12"/>
      <selection pane="topRight" activeCell="V12" sqref="V12"/>
      <selection pane="bottomLeft" activeCell="V12" sqref="V12"/>
      <selection pane="bottomRight" activeCell="K25" sqref="K2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3" t="s">
        <v>81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2024</v>
      </c>
      <c r="T5" s="48" t="s">
        <v>74</v>
      </c>
      <c r="U5" s="41">
        <f>F5</f>
        <v>2024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v>54795.57</v>
      </c>
      <c r="E18" s="15">
        <v>0</v>
      </c>
      <c r="F18" s="15">
        <v>0</v>
      </c>
      <c r="G18" s="16">
        <f t="shared" si="4"/>
        <v>54795.57</v>
      </c>
      <c r="H18" s="38">
        <v>40</v>
      </c>
      <c r="I18" s="32">
        <v>6849.45</v>
      </c>
      <c r="J18" s="30">
        <f t="shared" si="5"/>
        <v>1369.8900000000003</v>
      </c>
      <c r="K18" s="32"/>
      <c r="L18" s="16">
        <f t="shared" si="6"/>
        <v>8219.34</v>
      </c>
      <c r="M18" s="18">
        <f t="shared" si="7"/>
        <v>46576.229999999996</v>
      </c>
      <c r="O18" s="42"/>
      <c r="P18" s="42">
        <v>1706</v>
      </c>
      <c r="Q18" s="14" t="s">
        <v>25</v>
      </c>
      <c r="R18" s="18">
        <v>54795.57</v>
      </c>
      <c r="S18" s="32">
        <v>0</v>
      </c>
      <c r="T18" s="18">
        <f t="shared" si="2"/>
        <v>54795.57</v>
      </c>
      <c r="U18" s="18">
        <f t="shared" si="9"/>
        <v>0</v>
      </c>
      <c r="V18" s="18">
        <f t="shared" si="10"/>
        <v>54795.57</v>
      </c>
      <c r="W18" s="39">
        <f t="shared" ref="W18" si="14">H18</f>
        <v>40</v>
      </c>
      <c r="X18" s="19">
        <f t="shared" ref="X18" si="15">IF(H18=0,"-",1/W18)</f>
        <v>2.5000000000000001E-2</v>
      </c>
      <c r="Y18" s="18">
        <v>1369.8900000000003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207727024.34000015</v>
      </c>
      <c r="E21" s="15">
        <v>119303106.66999954</v>
      </c>
      <c r="F21" s="15">
        <v>0</v>
      </c>
      <c r="G21" s="16">
        <f t="shared" si="4"/>
        <v>327030131.00999969</v>
      </c>
      <c r="H21" s="38">
        <f>'2024 Combined'!H21</f>
        <v>50</v>
      </c>
      <c r="I21" s="32">
        <v>3544235.709999999</v>
      </c>
      <c r="J21" s="30">
        <f t="shared" si="5"/>
        <v>5756143.9700000016</v>
      </c>
      <c r="K21" s="32"/>
      <c r="L21" s="16">
        <f t="shared" si="6"/>
        <v>9300379.6799999997</v>
      </c>
      <c r="M21" s="18">
        <f t="shared" si="7"/>
        <v>317729751.32999969</v>
      </c>
      <c r="O21" s="42">
        <v>47</v>
      </c>
      <c r="P21" s="42">
        <v>1715</v>
      </c>
      <c r="Q21" s="14" t="s">
        <v>14</v>
      </c>
      <c r="R21" s="18">
        <v>207727024.34000015</v>
      </c>
      <c r="S21" s="32">
        <v>0</v>
      </c>
      <c r="T21" s="18">
        <f t="shared" si="2"/>
        <v>207727024.34000015</v>
      </c>
      <c r="U21" s="18">
        <f t="shared" si="9"/>
        <v>119303106.66999954</v>
      </c>
      <c r="V21" s="18">
        <f>+Y21/X21</f>
        <v>287807198.50000006</v>
      </c>
      <c r="W21" s="39">
        <f t="shared" si="11"/>
        <v>50</v>
      </c>
      <c r="X21" s="19">
        <f t="shared" si="12"/>
        <v>0.02</v>
      </c>
      <c r="Y21" s="18">
        <v>5756143.9700000016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18152796.629999999</v>
      </c>
      <c r="E22" s="15">
        <v>9514488.4699999988</v>
      </c>
      <c r="F22" s="15">
        <v>0</v>
      </c>
      <c r="G22" s="16">
        <f t="shared" si="4"/>
        <v>27667285.099999998</v>
      </c>
      <c r="H22" s="38">
        <f>'2024 Combined'!H22</f>
        <v>40</v>
      </c>
      <c r="I22" s="32">
        <v>286926.77</v>
      </c>
      <c r="J22" s="30">
        <f t="shared" si="5"/>
        <v>612900.37000000023</v>
      </c>
      <c r="K22" s="32"/>
      <c r="L22" s="16">
        <f t="shared" si="6"/>
        <v>899827.14000000025</v>
      </c>
      <c r="M22" s="18">
        <f t="shared" si="7"/>
        <v>26767457.959999997</v>
      </c>
      <c r="O22" s="42">
        <v>47</v>
      </c>
      <c r="P22" s="42" t="s">
        <v>10</v>
      </c>
      <c r="Q22" s="14" t="s">
        <v>21</v>
      </c>
      <c r="R22" s="18">
        <v>18152796.629999999</v>
      </c>
      <c r="S22" s="32">
        <v>0</v>
      </c>
      <c r="T22" s="18">
        <f t="shared" si="2"/>
        <v>18152796.629999999</v>
      </c>
      <c r="U22" s="18">
        <f t="shared" si="9"/>
        <v>9514488.4699999988</v>
      </c>
      <c r="V22" s="18">
        <f t="shared" ref="V22:V26" si="16">+Y22/X22</f>
        <v>24516014.800000008</v>
      </c>
      <c r="W22" s="39">
        <f t="shared" si="11"/>
        <v>40</v>
      </c>
      <c r="X22" s="19">
        <f t="shared" si="12"/>
        <v>2.5000000000000001E-2</v>
      </c>
      <c r="Y22" s="18">
        <v>612900.37000000023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8211109.6100000003</v>
      </c>
      <c r="E23" s="15">
        <v>5260441.8000000017</v>
      </c>
      <c r="F23" s="15">
        <v>0</v>
      </c>
      <c r="G23" s="16">
        <f t="shared" si="4"/>
        <v>13471551.410000002</v>
      </c>
      <c r="H23" s="38">
        <f>'2024 Combined'!H23</f>
        <v>20</v>
      </c>
      <c r="I23" s="32">
        <v>245565.31999999998</v>
      </c>
      <c r="J23" s="30">
        <f t="shared" si="5"/>
        <v>583286.08000000019</v>
      </c>
      <c r="K23" s="32"/>
      <c r="L23" s="16">
        <f t="shared" si="6"/>
        <v>828851.40000000014</v>
      </c>
      <c r="M23" s="18">
        <f>G23-L23</f>
        <v>12642700.010000002</v>
      </c>
      <c r="O23" s="42">
        <v>47</v>
      </c>
      <c r="P23" s="42" t="s">
        <v>11</v>
      </c>
      <c r="Q23" s="14" t="s">
        <v>22</v>
      </c>
      <c r="R23" s="18">
        <v>8211109.6100000003</v>
      </c>
      <c r="S23" s="32">
        <v>0</v>
      </c>
      <c r="T23" s="18">
        <f t="shared" si="2"/>
        <v>8211109.6100000003</v>
      </c>
      <c r="U23" s="18">
        <f t="shared" si="9"/>
        <v>5260441.8000000017</v>
      </c>
      <c r="V23" s="18">
        <f t="shared" si="16"/>
        <v>11665721.600000003</v>
      </c>
      <c r="W23" s="39">
        <f t="shared" si="11"/>
        <v>20</v>
      </c>
      <c r="X23" s="19">
        <f t="shared" si="12"/>
        <v>0.05</v>
      </c>
      <c r="Y23" s="18">
        <v>583286.08000000019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292518140.77999997</v>
      </c>
      <c r="E24" s="15">
        <v>210275453.45000005</v>
      </c>
      <c r="F24" s="15">
        <v>0</v>
      </c>
      <c r="G24" s="16">
        <f t="shared" si="4"/>
        <v>502793594.23000002</v>
      </c>
      <c r="H24" s="38">
        <f>'2024 Combined'!H24</f>
        <v>60</v>
      </c>
      <c r="I24" s="32">
        <v>3405811.1000000006</v>
      </c>
      <c r="J24" s="30">
        <f t="shared" si="5"/>
        <v>7209829.2599999979</v>
      </c>
      <c r="K24" s="32"/>
      <c r="L24" s="16">
        <f t="shared" si="6"/>
        <v>10615640.359999999</v>
      </c>
      <c r="M24" s="18">
        <f t="shared" ref="M24:M45" si="17">G24-L24</f>
        <v>492177953.87</v>
      </c>
      <c r="O24" s="42">
        <v>47</v>
      </c>
      <c r="P24" s="42">
        <v>1720</v>
      </c>
      <c r="Q24" s="14" t="s">
        <v>16</v>
      </c>
      <c r="R24" s="18">
        <v>292518140.77999997</v>
      </c>
      <c r="S24" s="32">
        <v>0</v>
      </c>
      <c r="T24" s="18">
        <f t="shared" si="2"/>
        <v>292518140.77999997</v>
      </c>
      <c r="U24" s="18">
        <f t="shared" si="9"/>
        <v>210275453.45000005</v>
      </c>
      <c r="V24" s="18">
        <f t="shared" si="16"/>
        <v>432589755.5999999</v>
      </c>
      <c r="W24" s="39">
        <f t="shared" si="11"/>
        <v>60</v>
      </c>
      <c r="X24" s="19">
        <f t="shared" si="12"/>
        <v>1.6666666666666666E-2</v>
      </c>
      <c r="Y24" s="18">
        <v>7209829.2599999979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55110720.809999987</v>
      </c>
      <c r="E25" s="15">
        <v>1833253.75</v>
      </c>
      <c r="F25" s="15">
        <v>-33712.109999999404</v>
      </c>
      <c r="G25" s="16">
        <f t="shared" si="4"/>
        <v>56910262.449999988</v>
      </c>
      <c r="H25" s="38">
        <f>'2024 Combined'!H25</f>
        <v>45</v>
      </c>
      <c r="I25" s="32">
        <v>2712119.34</v>
      </c>
      <c r="J25" s="30">
        <f t="shared" si="5"/>
        <v>1248080.43</v>
      </c>
      <c r="K25" s="32">
        <v>-4307.66</v>
      </c>
      <c r="L25" s="16">
        <f t="shared" si="6"/>
        <v>3955892.1099999994</v>
      </c>
      <c r="M25" s="18">
        <f t="shared" si="17"/>
        <v>52954370.339999989</v>
      </c>
      <c r="O25" s="42">
        <v>47</v>
      </c>
      <c r="P25" s="42">
        <v>1725</v>
      </c>
      <c r="Q25" s="14" t="s">
        <v>17</v>
      </c>
      <c r="R25" s="18">
        <v>55110720.809999987</v>
      </c>
      <c r="S25" s="32">
        <v>0</v>
      </c>
      <c r="T25" s="18">
        <f t="shared" si="2"/>
        <v>55110720.809999987</v>
      </c>
      <c r="U25" s="18">
        <f t="shared" si="9"/>
        <v>1833253.75</v>
      </c>
      <c r="V25" s="18">
        <f t="shared" si="16"/>
        <v>56163619.349999994</v>
      </c>
      <c r="W25" s="39">
        <f t="shared" si="11"/>
        <v>45</v>
      </c>
      <c r="X25" s="19">
        <f t="shared" si="12"/>
        <v>2.2222222222222223E-2</v>
      </c>
      <c r="Y25" s="18">
        <f>1243772.77+4307.66</f>
        <v>1248080.43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360407306.10000008</v>
      </c>
      <c r="E26" s="15">
        <v>196572416.15999991</v>
      </c>
      <c r="F26" s="15">
        <v>0</v>
      </c>
      <c r="G26" s="16">
        <f t="shared" si="4"/>
        <v>556979722.25999999</v>
      </c>
      <c r="H26" s="38">
        <f>'2024 Combined'!H26</f>
        <v>45</v>
      </c>
      <c r="I26" s="32">
        <v>7886710.1399999987</v>
      </c>
      <c r="J26" s="30">
        <f t="shared" si="5"/>
        <v>10991813.129999993</v>
      </c>
      <c r="K26" s="32"/>
      <c r="L26" s="16">
        <f t="shared" si="6"/>
        <v>18878523.269999992</v>
      </c>
      <c r="M26" s="18">
        <f t="shared" si="17"/>
        <v>538101198.99000001</v>
      </c>
      <c r="O26" s="42">
        <v>47</v>
      </c>
      <c r="P26" s="42">
        <v>1730</v>
      </c>
      <c r="Q26" s="14" t="s">
        <v>18</v>
      </c>
      <c r="R26" s="18">
        <v>360407306.10000008</v>
      </c>
      <c r="S26" s="32">
        <v>0</v>
      </c>
      <c r="T26" s="18">
        <f t="shared" si="2"/>
        <v>360407306.10000008</v>
      </c>
      <c r="U26" s="18">
        <f t="shared" si="9"/>
        <v>196572416.15999991</v>
      </c>
      <c r="V26" s="18">
        <f t="shared" si="16"/>
        <v>494631590.84999967</v>
      </c>
      <c r="W26" s="39">
        <f t="shared" si="11"/>
        <v>45</v>
      </c>
      <c r="X26" s="19">
        <f t="shared" si="12"/>
        <v>2.2222222222222223E-2</v>
      </c>
      <c r="Y26" s="18">
        <v>10991813.129999993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v>0</v>
      </c>
      <c r="J27" s="30">
        <f t="shared" si="5"/>
        <v>0</v>
      </c>
      <c r="K27" s="32"/>
      <c r="L27" s="16">
        <f t="shared" si="6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8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v>0</v>
      </c>
      <c r="J28" s="30">
        <f t="shared" si="5"/>
        <v>0</v>
      </c>
      <c r="K28" s="32"/>
      <c r="L28" s="16">
        <f t="shared" si="6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8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v>0</v>
      </c>
      <c r="J29" s="30">
        <f t="shared" si="5"/>
        <v>0</v>
      </c>
      <c r="K29" s="32"/>
      <c r="L29" s="16">
        <f t="shared" si="6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8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ref="R31:R45" si="22">D31</f>
        <v>0</v>
      </c>
      <c r="S31" s="32">
        <v>0</v>
      </c>
      <c r="T31" s="18">
        <f t="shared" si="2"/>
        <v>0</v>
      </c>
      <c r="U31" s="18">
        <f t="shared" ref="U31:U45" si="23">E31</f>
        <v>0</v>
      </c>
      <c r="V31" s="18">
        <f t="shared" ref="V31:V45" si="24">T31+U31/2</f>
        <v>0</v>
      </c>
      <c r="W31" s="39">
        <f t="shared" ref="W31:W45" si="25">H31</f>
        <v>0</v>
      </c>
      <c r="X31" s="19" t="str">
        <f t="shared" ref="X31:X45" si="26">IF(H31=0,"-",1/W31)</f>
        <v>-</v>
      </c>
      <c r="Y31" s="18">
        <f t="shared" ref="Y31:Y45" si="27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2"/>
        <v>0</v>
      </c>
      <c r="S32" s="32">
        <v>0</v>
      </c>
      <c r="T32" s="18">
        <f t="shared" si="2"/>
        <v>0</v>
      </c>
      <c r="U32" s="18">
        <f t="shared" si="23"/>
        <v>0</v>
      </c>
      <c r="V32" s="18">
        <f t="shared" si="24"/>
        <v>0</v>
      </c>
      <c r="W32" s="39">
        <f t="shared" si="25"/>
        <v>0</v>
      </c>
      <c r="X32" s="19" t="str">
        <f t="shared" si="26"/>
        <v>-</v>
      </c>
      <c r="Y32" s="18">
        <f t="shared" si="27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2"/>
        <v>0</v>
      </c>
      <c r="S33" s="32">
        <v>0</v>
      </c>
      <c r="T33" s="18">
        <f t="shared" si="2"/>
        <v>0</v>
      </c>
      <c r="U33" s="18">
        <f t="shared" si="23"/>
        <v>0</v>
      </c>
      <c r="V33" s="18">
        <f t="shared" si="24"/>
        <v>0</v>
      </c>
      <c r="W33" s="39">
        <f t="shared" si="25"/>
        <v>0</v>
      </c>
      <c r="X33" s="19" t="str">
        <f t="shared" si="26"/>
        <v>-</v>
      </c>
      <c r="Y33" s="18">
        <f t="shared" si="27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2"/>
        <v>0</v>
      </c>
      <c r="S34" s="32">
        <v>0</v>
      </c>
      <c r="T34" s="18">
        <f t="shared" si="2"/>
        <v>0</v>
      </c>
      <c r="U34" s="18">
        <f t="shared" si="23"/>
        <v>0</v>
      </c>
      <c r="V34" s="18">
        <f t="shared" si="24"/>
        <v>0</v>
      </c>
      <c r="W34" s="39">
        <f t="shared" si="25"/>
        <v>0</v>
      </c>
      <c r="X34" s="19" t="str">
        <f t="shared" si="26"/>
        <v>-</v>
      </c>
      <c r="Y34" s="18">
        <f t="shared" si="27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2"/>
        <v>0</v>
      </c>
      <c r="S35" s="32">
        <v>0</v>
      </c>
      <c r="T35" s="18">
        <f t="shared" si="2"/>
        <v>0</v>
      </c>
      <c r="U35" s="18">
        <f t="shared" si="23"/>
        <v>0</v>
      </c>
      <c r="V35" s="18">
        <f t="shared" si="24"/>
        <v>0</v>
      </c>
      <c r="W35" s="39">
        <f t="shared" si="25"/>
        <v>0</v>
      </c>
      <c r="X35" s="19" t="str">
        <f t="shared" si="26"/>
        <v>-</v>
      </c>
      <c r="Y35" s="18">
        <f t="shared" si="27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2"/>
        <v>0</v>
      </c>
      <c r="S36" s="32">
        <v>0</v>
      </c>
      <c r="T36" s="18">
        <f t="shared" si="2"/>
        <v>0</v>
      </c>
      <c r="U36" s="18">
        <f t="shared" si="23"/>
        <v>0</v>
      </c>
      <c r="V36" s="18">
        <f t="shared" si="24"/>
        <v>0</v>
      </c>
      <c r="W36" s="39">
        <f t="shared" si="25"/>
        <v>0</v>
      </c>
      <c r="X36" s="19" t="str">
        <f t="shared" si="26"/>
        <v>-</v>
      </c>
      <c r="Y36" s="18">
        <f t="shared" si="27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2"/>
        <v>0</v>
      </c>
      <c r="S37" s="32">
        <v>0</v>
      </c>
      <c r="T37" s="18">
        <f t="shared" si="2"/>
        <v>0</v>
      </c>
      <c r="U37" s="18">
        <f t="shared" si="23"/>
        <v>0</v>
      </c>
      <c r="V37" s="18">
        <f t="shared" si="24"/>
        <v>0</v>
      </c>
      <c r="W37" s="39">
        <f t="shared" si="25"/>
        <v>0</v>
      </c>
      <c r="X37" s="19" t="str">
        <f t="shared" si="26"/>
        <v>-</v>
      </c>
      <c r="Y37" s="18">
        <f t="shared" si="27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2"/>
        <v>0</v>
      </c>
      <c r="S38" s="32">
        <v>0</v>
      </c>
      <c r="T38" s="18">
        <f t="shared" si="2"/>
        <v>0</v>
      </c>
      <c r="U38" s="18">
        <f t="shared" si="23"/>
        <v>0</v>
      </c>
      <c r="V38" s="18">
        <f t="shared" si="24"/>
        <v>0</v>
      </c>
      <c r="W38" s="39">
        <f t="shared" si="25"/>
        <v>0</v>
      </c>
      <c r="X38" s="19" t="str">
        <f t="shared" si="26"/>
        <v>-</v>
      </c>
      <c r="Y38" s="18">
        <f t="shared" si="27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2"/>
        <v>0</v>
      </c>
      <c r="S39" s="32">
        <v>0</v>
      </c>
      <c r="T39" s="18">
        <f t="shared" si="2"/>
        <v>0</v>
      </c>
      <c r="U39" s="18">
        <f t="shared" si="23"/>
        <v>0</v>
      </c>
      <c r="V39" s="18">
        <f t="shared" si="24"/>
        <v>0</v>
      </c>
      <c r="W39" s="39">
        <f t="shared" si="25"/>
        <v>0</v>
      </c>
      <c r="X39" s="19" t="str">
        <f t="shared" si="26"/>
        <v>-</v>
      </c>
      <c r="Y39" s="18">
        <f t="shared" si="27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2"/>
        <v>0</v>
      </c>
      <c r="S40" s="32">
        <v>0</v>
      </c>
      <c r="T40" s="18">
        <f t="shared" si="2"/>
        <v>0</v>
      </c>
      <c r="U40" s="18">
        <f t="shared" si="23"/>
        <v>0</v>
      </c>
      <c r="V40" s="18">
        <f t="shared" si="24"/>
        <v>0</v>
      </c>
      <c r="W40" s="39">
        <f t="shared" si="25"/>
        <v>0</v>
      </c>
      <c r="X40" s="19" t="str">
        <f t="shared" si="26"/>
        <v>-</v>
      </c>
      <c r="Y40" s="18">
        <f t="shared" si="27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2"/>
        <v>0</v>
      </c>
      <c r="S41" s="32">
        <v>0</v>
      </c>
      <c r="T41" s="18">
        <f t="shared" si="2"/>
        <v>0</v>
      </c>
      <c r="U41" s="18">
        <f t="shared" si="23"/>
        <v>0</v>
      </c>
      <c r="V41" s="18">
        <f t="shared" si="24"/>
        <v>0</v>
      </c>
      <c r="W41" s="39">
        <f t="shared" si="25"/>
        <v>0</v>
      </c>
      <c r="X41" s="19" t="str">
        <f t="shared" si="26"/>
        <v>-</v>
      </c>
      <c r="Y41" s="18">
        <f t="shared" si="27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2"/>
        <v>0</v>
      </c>
      <c r="S42" s="32">
        <v>0</v>
      </c>
      <c r="T42" s="18">
        <f t="shared" si="2"/>
        <v>0</v>
      </c>
      <c r="U42" s="18">
        <f t="shared" si="23"/>
        <v>0</v>
      </c>
      <c r="V42" s="18">
        <f t="shared" si="24"/>
        <v>0</v>
      </c>
      <c r="W42" s="39">
        <f t="shared" si="25"/>
        <v>0</v>
      </c>
      <c r="X42" s="19" t="str">
        <f t="shared" si="26"/>
        <v>-</v>
      </c>
      <c r="Y42" s="18">
        <f t="shared" si="27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2"/>
        <v>0</v>
      </c>
      <c r="S43" s="32">
        <v>0</v>
      </c>
      <c r="T43" s="18">
        <f t="shared" si="2"/>
        <v>0</v>
      </c>
      <c r="U43" s="18">
        <f t="shared" si="23"/>
        <v>0</v>
      </c>
      <c r="V43" s="18">
        <f t="shared" si="24"/>
        <v>0</v>
      </c>
      <c r="W43" s="39">
        <f t="shared" si="25"/>
        <v>0</v>
      </c>
      <c r="X43" s="19" t="str">
        <f t="shared" si="26"/>
        <v>-</v>
      </c>
      <c r="Y43" s="18">
        <f t="shared" si="27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2"/>
        <v>0</v>
      </c>
      <c r="S44" s="32">
        <v>0</v>
      </c>
      <c r="T44" s="18">
        <f t="shared" si="2"/>
        <v>0</v>
      </c>
      <c r="U44" s="18">
        <f t="shared" si="23"/>
        <v>0</v>
      </c>
      <c r="V44" s="18">
        <f t="shared" si="24"/>
        <v>0</v>
      </c>
      <c r="W44" s="39">
        <f t="shared" si="25"/>
        <v>0</v>
      </c>
      <c r="X44" s="19" t="str">
        <f t="shared" si="26"/>
        <v>-</v>
      </c>
      <c r="Y44" s="18">
        <f t="shared" si="27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42"/>
      <c r="P45" s="42"/>
      <c r="Q45" s="14"/>
      <c r="R45" s="18">
        <f t="shared" si="22"/>
        <v>0</v>
      </c>
      <c r="S45" s="32">
        <v>0</v>
      </c>
      <c r="T45" s="18">
        <f t="shared" si="2"/>
        <v>0</v>
      </c>
      <c r="U45" s="18">
        <f t="shared" si="23"/>
        <v>0</v>
      </c>
      <c r="V45" s="18">
        <f t="shared" si="24"/>
        <v>0</v>
      </c>
      <c r="W45" s="39">
        <f t="shared" si="25"/>
        <v>0</v>
      </c>
      <c r="X45" s="19" t="str">
        <f t="shared" si="26"/>
        <v>-</v>
      </c>
      <c r="Y45" s="18">
        <f t="shared" si="27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942181893.84000015</v>
      </c>
      <c r="E46" s="22">
        <f>SUM(E12:E15,E17:E29,E31:E45)</f>
        <v>542759160.29999948</v>
      </c>
      <c r="F46" s="22">
        <f>SUM(F12:F15,F17:F29,F31:F45)</f>
        <v>-33712.109999999404</v>
      </c>
      <c r="G46" s="22">
        <f>SUM(G12:G15,G17:G29,G31:G45)</f>
        <v>1484907342.0299997</v>
      </c>
      <c r="H46" s="33"/>
      <c r="I46" s="22">
        <f>SUM(I12:I15,I17:I29,I31:I45)</f>
        <v>18088217.829999998</v>
      </c>
      <c r="J46" s="22">
        <f>SUM(J12:J15,J17:J29,J31:J45)</f>
        <v>26403423.129999995</v>
      </c>
      <c r="K46" s="22">
        <f>SUM(K12:K15,K17:K29,K31:K45)</f>
        <v>-4307.66</v>
      </c>
      <c r="L46" s="22">
        <f>SUM(L12:L15,L17:L29,L31:L45)</f>
        <v>44487333.299999997</v>
      </c>
      <c r="M46" s="22">
        <f>SUM(M12:M15,M17:M29,M31:M45)</f>
        <v>1440420008.7299995</v>
      </c>
      <c r="N46" s="23"/>
      <c r="O46" s="44"/>
      <c r="P46" s="44"/>
      <c r="Q46" s="20" t="s">
        <v>77</v>
      </c>
      <c r="R46" s="22">
        <f>SUM(R12:R15,R17:R29,R31:R45)</f>
        <v>942181893.84000015</v>
      </c>
      <c r="S46" s="22">
        <f>SUM(S12:S15,S17:S29,S31:S45)</f>
        <v>0</v>
      </c>
      <c r="T46" s="22">
        <f>SUM(T12:T15,T17:T29,T31:T45)</f>
        <v>942181893.84000015</v>
      </c>
      <c r="U46" s="22">
        <f>SUM(U12:U15,U17:U29,U31:U45)</f>
        <v>542759160.29999948</v>
      </c>
      <c r="V46" s="22">
        <f>SUM(V12:V15,V17:V29,V31:V45)</f>
        <v>1307428696.2699995</v>
      </c>
      <c r="W46" s="24"/>
      <c r="X46" s="24"/>
      <c r="Y46" s="22">
        <f>SUM(Y12:Y15,Y17:Y29,Y31:Y44)</f>
        <v>26403423.129999995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8">SUM(D47:F47)</f>
        <v>0</v>
      </c>
      <c r="H47" s="33"/>
      <c r="I47" s="32"/>
      <c r="J47" s="32"/>
      <c r="K47" s="32"/>
      <c r="L47" s="16">
        <f t="shared" ref="L47:L48" si="29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8"/>
        <v>0</v>
      </c>
      <c r="H48" s="33"/>
      <c r="I48" s="32"/>
      <c r="J48" s="32"/>
      <c r="K48" s="32"/>
      <c r="L48" s="16">
        <f t="shared" si="29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942181893.84000015</v>
      </c>
      <c r="E49" s="16">
        <f>SUM(E46:E48)</f>
        <v>542759160.29999948</v>
      </c>
      <c r="F49" s="16">
        <f>SUM(F46:F48)</f>
        <v>-33712.109999999404</v>
      </c>
      <c r="G49" s="16">
        <f>SUM(G46:G48)</f>
        <v>1484907342.0299997</v>
      </c>
      <c r="H49" s="33"/>
      <c r="I49" s="16">
        <f>SUM(I46:I48)</f>
        <v>18088217.829999998</v>
      </c>
      <c r="J49" s="16">
        <f>SUM(J46:J48)</f>
        <v>26403423.129999995</v>
      </c>
      <c r="K49" s="16">
        <f>SUM(K46:K48)</f>
        <v>-4307.66</v>
      </c>
      <c r="L49" s="16">
        <f>SUM(L46:L48)</f>
        <v>44487333.299999997</v>
      </c>
      <c r="M49" s="16">
        <f>SUM(M46:M48)</f>
        <v>1440420008.7299995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26403423.129999995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26403423.129999995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&amp;REB-2025-0192</oddHeader>
    <oddFooter>&amp;L&amp;"Times New Roman,Regular"&amp;8 53141182.2</oddFooter>
  </headerFooter>
  <colBreaks count="1" manualBreakCount="1">
    <brk id="9" max="5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3BCE-7F67-4C0E-A1A8-F3A7335475DE}">
  <sheetPr>
    <pageSetUpPr fitToPage="1"/>
  </sheetPr>
  <dimension ref="A2:Z63"/>
  <sheetViews>
    <sheetView showGridLines="0" view="pageBreakPreview" zoomScaleNormal="100" zoomScaleSheetLayoutView="100" workbookViewId="0">
      <pane xSplit="3" ySplit="10" topLeftCell="D27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6.8554687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4.85546875" style="1" customWidth="1"/>
    <col min="19" max="19" width="9.5703125" style="1" bestFit="1" customWidth="1"/>
    <col min="20" max="20" width="12.7109375" style="1" customWidth="1"/>
    <col min="21" max="21" width="12.5703125" style="1" customWidth="1"/>
    <col min="22" max="22" width="13.2851562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3" t="s">
        <v>84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2025</v>
      </c>
      <c r="S5" s="48" t="s">
        <v>74</v>
      </c>
      <c r="T5" s="41">
        <f>F5</f>
        <v>2025</v>
      </c>
    </row>
    <row r="7" spans="1:25" ht="2.25" customHeight="1" x14ac:dyDescent="0.2">
      <c r="D7" s="85"/>
      <c r="E7" s="85"/>
      <c r="F7" s="85"/>
      <c r="G7" s="85"/>
      <c r="H7" s="85"/>
    </row>
    <row r="8" spans="1:25" ht="2.25" customHeight="1" x14ac:dyDescent="0.2"/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+'2023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+'2023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+'2023 Combined'!G14</f>
        <v>0</v>
      </c>
      <c r="E14" s="15">
        <v>0</v>
      </c>
      <c r="F14" s="15">
        <v>0</v>
      </c>
      <c r="G14" s="16">
        <f>SUM(D14:F14)</f>
        <v>0</v>
      </c>
      <c r="H14" s="15">
        <v>5</v>
      </c>
      <c r="I14" s="15">
        <f>+'2023 Combined'!L14</f>
        <v>0</v>
      </c>
      <c r="J14" s="30">
        <f t="shared" si="2"/>
        <v>0</v>
      </c>
      <c r="K14" s="15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>+Y14/X14</f>
        <v>0</v>
      </c>
      <c r="W14" s="39">
        <f t="shared" si="7"/>
        <v>5</v>
      </c>
      <c r="X14" s="19">
        <f t="shared" si="8"/>
        <v>0.2</v>
      </c>
      <c r="Y14" s="18">
        <v>0</v>
      </c>
    </row>
    <row r="15" spans="1:25" x14ac:dyDescent="0.2">
      <c r="A15" s="42"/>
      <c r="B15" s="42">
        <v>1612</v>
      </c>
      <c r="C15" s="14" t="s">
        <v>28</v>
      </c>
      <c r="D15" s="15">
        <f>+'2023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6" x14ac:dyDescent="0.2">
      <c r="A17" s="42"/>
      <c r="B17" s="42">
        <v>1705</v>
      </c>
      <c r="C17" s="14" t="s">
        <v>29</v>
      </c>
      <c r="D17" s="15">
        <f>+'2024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+'2024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'2025 LTPL'!V17+'2025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'2025 LTPL'!Y17+'2025 RCL'!Y17</f>
        <v>0</v>
      </c>
    </row>
    <row r="18" spans="1:26" x14ac:dyDescent="0.2">
      <c r="A18" s="42"/>
      <c r="B18" s="42">
        <v>1706</v>
      </c>
      <c r="C18" s="14" t="s">
        <v>25</v>
      </c>
      <c r="D18" s="15">
        <f>+'2024 Combined'!G18</f>
        <v>54795.57</v>
      </c>
      <c r="E18" s="15">
        <v>0</v>
      </c>
      <c r="F18" s="15">
        <v>0</v>
      </c>
      <c r="G18" s="16">
        <f t="shared" si="9"/>
        <v>54795.57</v>
      </c>
      <c r="H18" s="15">
        <v>40</v>
      </c>
      <c r="I18" s="15">
        <f>+'2024 Combined'!L18</f>
        <v>8219.34</v>
      </c>
      <c r="J18" s="30">
        <f t="shared" si="10"/>
        <v>1369.8892500000002</v>
      </c>
      <c r="K18" s="15"/>
      <c r="L18" s="16">
        <f t="shared" si="11"/>
        <v>9589.2292500000003</v>
      </c>
      <c r="M18" s="18">
        <f t="shared" si="12"/>
        <v>45206.340750000003</v>
      </c>
      <c r="O18" s="42"/>
      <c r="P18" s="42">
        <v>1706</v>
      </c>
      <c r="Q18" s="14" t="s">
        <v>25</v>
      </c>
      <c r="R18" s="18">
        <f t="shared" si="3"/>
        <v>54795.57</v>
      </c>
      <c r="S18" s="32">
        <v>0</v>
      </c>
      <c r="T18" s="18">
        <f t="shared" si="4"/>
        <v>54795.57</v>
      </c>
      <c r="U18" s="18">
        <f t="shared" si="5"/>
        <v>0</v>
      </c>
      <c r="V18" s="18">
        <f>'2025 LTPL'!V18+'2025 RCL'!V18</f>
        <v>54795.57</v>
      </c>
      <c r="W18" s="39">
        <f t="shared" si="13"/>
        <v>40</v>
      </c>
      <c r="X18" s="19">
        <f t="shared" si="14"/>
        <v>2.5000000000000001E-2</v>
      </c>
      <c r="Y18" s="18">
        <f>'2025 LTPL'!Y18+'2025 RCL'!Y18</f>
        <v>1369.8892500000002</v>
      </c>
    </row>
    <row r="19" spans="1:26" x14ac:dyDescent="0.2">
      <c r="A19" s="42"/>
      <c r="B19" s="42">
        <v>1708</v>
      </c>
      <c r="C19" s="14" t="s">
        <v>31</v>
      </c>
      <c r="D19" s="15">
        <f>+'2024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+'2024 Combined'!L19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'2025 LTPL'!V19+'2025 RCL'!V19</f>
        <v>0</v>
      </c>
      <c r="W19" s="39">
        <f t="shared" si="13"/>
        <v>0</v>
      </c>
      <c r="X19" s="19" t="str">
        <f t="shared" si="14"/>
        <v>-</v>
      </c>
      <c r="Y19" s="18">
        <f>'2025 LTPL'!Y19+'2025 RCL'!Y19</f>
        <v>0</v>
      </c>
    </row>
    <row r="20" spans="1:26" x14ac:dyDescent="0.2">
      <c r="A20" s="42"/>
      <c r="B20" s="42">
        <v>1710</v>
      </c>
      <c r="C20" s="14" t="s">
        <v>26</v>
      </c>
      <c r="D20" s="15">
        <f>+'2024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+'2024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'2025 LTPL'!V20+'2025 RCL'!V20</f>
        <v>0</v>
      </c>
      <c r="W20" s="39">
        <f t="shared" si="13"/>
        <v>0</v>
      </c>
      <c r="X20" s="19" t="str">
        <f t="shared" si="14"/>
        <v>-</v>
      </c>
      <c r="Y20" s="18">
        <f>'2025 LTPL'!Y20+'2025 RCL'!Y20</f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Combined'!G21</f>
        <v>372736932.50999969</v>
      </c>
      <c r="E21" s="15">
        <v>0</v>
      </c>
      <c r="F21" s="15">
        <v>0</v>
      </c>
      <c r="G21" s="16">
        <f t="shared" si="9"/>
        <v>372736932.50999969</v>
      </c>
      <c r="H21" s="15">
        <v>50</v>
      </c>
      <c r="I21" s="15">
        <f>+'2024 Combined'!L21</f>
        <v>11161351.34</v>
      </c>
      <c r="J21" s="30">
        <f t="shared" si="10"/>
        <v>7454738.6501999935</v>
      </c>
      <c r="K21" s="15"/>
      <c r="L21" s="16">
        <f t="shared" si="11"/>
        <v>18616089.990199994</v>
      </c>
      <c r="M21" s="18">
        <f t="shared" si="12"/>
        <v>354120842.51979971</v>
      </c>
      <c r="O21" s="42">
        <v>47</v>
      </c>
      <c r="P21" s="42">
        <v>1715</v>
      </c>
      <c r="Q21" s="14" t="s">
        <v>14</v>
      </c>
      <c r="R21" s="18">
        <f t="shared" si="3"/>
        <v>372736932.50999969</v>
      </c>
      <c r="S21" s="32">
        <v>0</v>
      </c>
      <c r="T21" s="18">
        <f t="shared" si="4"/>
        <v>372736932.50999969</v>
      </c>
      <c r="U21" s="18">
        <f t="shared" si="5"/>
        <v>0</v>
      </c>
      <c r="V21" s="18">
        <f>'2025 LTPL'!V21+'2025 RCL'!V21</f>
        <v>372736932.50999969</v>
      </c>
      <c r="W21" s="39">
        <f t="shared" si="13"/>
        <v>50</v>
      </c>
      <c r="X21" s="19">
        <f t="shared" si="14"/>
        <v>0.02</v>
      </c>
      <c r="Y21" s="18">
        <f>'2025 LTPL'!Y21+'2025 RCL'!Y21</f>
        <v>7454738.6501999935</v>
      </c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Combined'!G22</f>
        <v>33878706.239999995</v>
      </c>
      <c r="E22" s="15">
        <v>0</v>
      </c>
      <c r="F22" s="15">
        <v>0</v>
      </c>
      <c r="G22" s="16">
        <f t="shared" si="9"/>
        <v>33878706.239999995</v>
      </c>
      <c r="H22" s="15">
        <v>40</v>
      </c>
      <c r="I22" s="15">
        <f>+'2024 Combined'!L22</f>
        <v>1261728.7700000003</v>
      </c>
      <c r="J22" s="30">
        <f t="shared" si="10"/>
        <v>846967.65599999996</v>
      </c>
      <c r="K22" s="15"/>
      <c r="L22" s="16">
        <f t="shared" si="11"/>
        <v>2108696.426</v>
      </c>
      <c r="M22" s="18">
        <f t="shared" si="12"/>
        <v>31770009.813999996</v>
      </c>
      <c r="O22" s="42">
        <v>47</v>
      </c>
      <c r="P22" s="42" t="s">
        <v>10</v>
      </c>
      <c r="Q22" s="14" t="s">
        <v>21</v>
      </c>
      <c r="R22" s="18">
        <f t="shared" si="3"/>
        <v>33878706.239999995</v>
      </c>
      <c r="S22" s="32">
        <v>0</v>
      </c>
      <c r="T22" s="18">
        <f t="shared" si="4"/>
        <v>33878706.239999995</v>
      </c>
      <c r="U22" s="18">
        <f t="shared" si="5"/>
        <v>0</v>
      </c>
      <c r="V22" s="18">
        <f>'2025 LTPL'!V22+'2025 RCL'!V22</f>
        <v>33878706.239999995</v>
      </c>
      <c r="W22" s="39">
        <f t="shared" si="13"/>
        <v>40</v>
      </c>
      <c r="X22" s="19">
        <f t="shared" si="14"/>
        <v>2.5000000000000001E-2</v>
      </c>
      <c r="Y22" s="18">
        <f>'2025 LTPL'!Y22+'2025 RCL'!Y22</f>
        <v>846967.65599999996</v>
      </c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Combined'!G23</f>
        <v>14963021.110000003</v>
      </c>
      <c r="E23" s="15">
        <v>0</v>
      </c>
      <c r="F23" s="15">
        <v>0</v>
      </c>
      <c r="G23" s="16">
        <f t="shared" si="9"/>
        <v>14963021.110000003</v>
      </c>
      <c r="H23" s="15">
        <v>20</v>
      </c>
      <c r="I23" s="15">
        <f>+'2024 Combined'!L23</f>
        <v>1002770.2800000001</v>
      </c>
      <c r="J23" s="30">
        <f t="shared" si="10"/>
        <v>748151.05550000013</v>
      </c>
      <c r="K23" s="15"/>
      <c r="L23" s="16">
        <f t="shared" si="11"/>
        <v>1750921.3355000003</v>
      </c>
      <c r="M23" s="18">
        <f>G23-L23</f>
        <v>13212099.774500003</v>
      </c>
      <c r="O23" s="42">
        <v>47</v>
      </c>
      <c r="P23" s="42" t="s">
        <v>11</v>
      </c>
      <c r="Q23" s="14" t="s">
        <v>22</v>
      </c>
      <c r="R23" s="18">
        <f t="shared" si="3"/>
        <v>14963021.110000003</v>
      </c>
      <c r="S23" s="32">
        <v>0</v>
      </c>
      <c r="T23" s="18">
        <f t="shared" si="4"/>
        <v>14963021.110000003</v>
      </c>
      <c r="U23" s="18">
        <f t="shared" si="5"/>
        <v>0</v>
      </c>
      <c r="V23" s="18">
        <f>'2025 LTPL'!V23+'2025 RCL'!V23</f>
        <v>14963021.110000001</v>
      </c>
      <c r="W23" s="39">
        <f t="shared" si="13"/>
        <v>20</v>
      </c>
      <c r="X23" s="19">
        <f t="shared" si="14"/>
        <v>0.05</v>
      </c>
      <c r="Y23" s="18">
        <f>'2025 LTPL'!Y23+'2025 RCL'!Y23</f>
        <v>748151.05550000013</v>
      </c>
    </row>
    <row r="24" spans="1:26" x14ac:dyDescent="0.2">
      <c r="A24" s="42">
        <v>47</v>
      </c>
      <c r="B24" s="42">
        <v>1720</v>
      </c>
      <c r="C24" s="14" t="s">
        <v>16</v>
      </c>
      <c r="D24" s="15">
        <f>+'2024 Combined'!G24</f>
        <v>617215376.75999999</v>
      </c>
      <c r="E24" s="15">
        <v>0</v>
      </c>
      <c r="F24" s="15">
        <v>0</v>
      </c>
      <c r="G24" s="16">
        <f t="shared" si="9"/>
        <v>617215376.75999999</v>
      </c>
      <c r="H24" s="15">
        <v>60</v>
      </c>
      <c r="I24" s="15">
        <f>+'2024 Combined'!L24</f>
        <v>15022787.739999998</v>
      </c>
      <c r="J24" s="30">
        <f t="shared" si="10"/>
        <v>10286922.946</v>
      </c>
      <c r="K24" s="15"/>
      <c r="L24" s="16">
        <f t="shared" si="11"/>
        <v>25309710.685999997</v>
      </c>
      <c r="M24" s="18">
        <f t="shared" ref="M24:M46" si="15">G24-L24</f>
        <v>591905666.074</v>
      </c>
      <c r="O24" s="42">
        <v>47</v>
      </c>
      <c r="P24" s="42">
        <v>1720</v>
      </c>
      <c r="Q24" s="14" t="s">
        <v>16</v>
      </c>
      <c r="R24" s="18">
        <f t="shared" si="3"/>
        <v>617215376.75999999</v>
      </c>
      <c r="S24" s="32">
        <v>0</v>
      </c>
      <c r="T24" s="18">
        <f t="shared" si="4"/>
        <v>617215376.75999999</v>
      </c>
      <c r="U24" s="18">
        <f t="shared" si="5"/>
        <v>0</v>
      </c>
      <c r="V24" s="18">
        <f>'2025 LTPL'!V24+'2025 RCL'!V24</f>
        <v>617215376.75999999</v>
      </c>
      <c r="W24" s="39">
        <f t="shared" si="13"/>
        <v>60</v>
      </c>
      <c r="X24" s="19">
        <f t="shared" si="14"/>
        <v>1.6666666666666666E-2</v>
      </c>
      <c r="Y24" s="18">
        <f>'2025 LTPL'!Y24+'2025 RCL'!Y24</f>
        <v>10286922.946</v>
      </c>
    </row>
    <row r="25" spans="1:26" x14ac:dyDescent="0.2">
      <c r="A25" s="42">
        <v>47</v>
      </c>
      <c r="B25" s="42">
        <v>1725</v>
      </c>
      <c r="C25" s="14" t="s">
        <v>17</v>
      </c>
      <c r="D25" s="15">
        <f>+'2024 Combined'!G25</f>
        <v>56910262.449999988</v>
      </c>
      <c r="E25" s="15">
        <v>800000</v>
      </c>
      <c r="F25" s="15">
        <v>0</v>
      </c>
      <c r="G25" s="16">
        <f t="shared" si="9"/>
        <v>57710262.449999988</v>
      </c>
      <c r="H25" s="15">
        <v>45</v>
      </c>
      <c r="I25" s="15">
        <f>+'2024 Combined'!L25</f>
        <v>3955892.1099999994</v>
      </c>
      <c r="J25" s="30">
        <f t="shared" si="10"/>
        <v>1273561.3877777776</v>
      </c>
      <c r="K25" s="15"/>
      <c r="L25" s="16">
        <f t="shared" si="11"/>
        <v>5229453.4977777768</v>
      </c>
      <c r="M25" s="18">
        <f t="shared" si="15"/>
        <v>52480808.952222213</v>
      </c>
      <c r="O25" s="42">
        <v>47</v>
      </c>
      <c r="P25" s="42">
        <v>1725</v>
      </c>
      <c r="Q25" s="14" t="s">
        <v>17</v>
      </c>
      <c r="R25" s="18">
        <f t="shared" si="3"/>
        <v>56910262.449999988</v>
      </c>
      <c r="S25" s="32">
        <v>0</v>
      </c>
      <c r="T25" s="18">
        <f t="shared" si="4"/>
        <v>56910262.449999988</v>
      </c>
      <c r="U25" s="18">
        <f t="shared" si="5"/>
        <v>800000</v>
      </c>
      <c r="V25" s="18">
        <f>'2025 LTPL'!V25+'2025 RCL'!V25</f>
        <v>57310262.449999988</v>
      </c>
      <c r="W25" s="39">
        <f t="shared" si="13"/>
        <v>45</v>
      </c>
      <c r="X25" s="19">
        <f t="shared" si="14"/>
        <v>2.2222222222222223E-2</v>
      </c>
      <c r="Y25" s="18">
        <f>'2025 LTPL'!Y25+'2025 RCL'!Y25</f>
        <v>1273561.3877777776</v>
      </c>
    </row>
    <row r="26" spans="1:26" x14ac:dyDescent="0.2">
      <c r="A26" s="42">
        <v>47</v>
      </c>
      <c r="B26" s="42">
        <v>1730</v>
      </c>
      <c r="C26" s="14" t="s">
        <v>18</v>
      </c>
      <c r="D26" s="15">
        <f>+'2024 Combined'!G26</f>
        <v>710440555.22000003</v>
      </c>
      <c r="E26" s="15">
        <v>500000</v>
      </c>
      <c r="F26" s="15">
        <v>0</v>
      </c>
      <c r="G26" s="16">
        <f t="shared" si="9"/>
        <v>710940555.22000003</v>
      </c>
      <c r="H26" s="15">
        <v>45</v>
      </c>
      <c r="I26" s="15">
        <f>+'2024 Combined'!L26</f>
        <v>26229741.989999995</v>
      </c>
      <c r="J26" s="30">
        <f t="shared" si="10"/>
        <v>15793123.449333334</v>
      </c>
      <c r="K26" s="15"/>
      <c r="L26" s="16">
        <f t="shared" si="11"/>
        <v>42022865.439333327</v>
      </c>
      <c r="M26" s="18">
        <f t="shared" si="15"/>
        <v>668917689.78066671</v>
      </c>
      <c r="O26" s="42">
        <v>47</v>
      </c>
      <c r="P26" s="42">
        <v>1730</v>
      </c>
      <c r="Q26" s="14" t="s">
        <v>18</v>
      </c>
      <c r="R26" s="18">
        <f t="shared" si="3"/>
        <v>710440555.22000003</v>
      </c>
      <c r="S26" s="32">
        <v>0</v>
      </c>
      <c r="T26" s="18">
        <f t="shared" si="4"/>
        <v>710440555.22000003</v>
      </c>
      <c r="U26" s="18">
        <f t="shared" si="5"/>
        <v>500000</v>
      </c>
      <c r="V26" s="18">
        <f>'2025 LTPL'!V26+'2025 RCL'!V26</f>
        <v>710690555.22000003</v>
      </c>
      <c r="W26" s="39">
        <f t="shared" si="13"/>
        <v>45</v>
      </c>
      <c r="X26" s="19">
        <f t="shared" si="14"/>
        <v>2.2222222222222223E-2</v>
      </c>
      <c r="Y26" s="18">
        <f>'2025 LTPL'!Y26+'2025 RCL'!Y26</f>
        <v>15793123.449333334</v>
      </c>
    </row>
    <row r="27" spans="1:26" x14ac:dyDescent="0.2">
      <c r="A27" s="42"/>
      <c r="B27" s="42">
        <v>1735</v>
      </c>
      <c r="C27" s="14" t="s">
        <v>19</v>
      </c>
      <c r="D27" s="15">
        <f>+'2024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'2025 LTPL'!V27+'2025 RCL'!V27</f>
        <v>0</v>
      </c>
      <c r="W27" s="39">
        <f t="shared" si="13"/>
        <v>0</v>
      </c>
      <c r="X27" s="19" t="str">
        <f t="shared" si="14"/>
        <v>-</v>
      </c>
      <c r="Y27" s="18">
        <f>'2025 LTPL'!Y27+'2025 RCL'!Y27</f>
        <v>0</v>
      </c>
    </row>
    <row r="28" spans="1:26" x14ac:dyDescent="0.2">
      <c r="A28" s="42"/>
      <c r="B28" s="42">
        <v>1740</v>
      </c>
      <c r="C28" s="14" t="s">
        <v>20</v>
      </c>
      <c r="D28" s="15">
        <f>+'2024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'2025 LTPL'!V28+'2025 RCL'!V28</f>
        <v>0</v>
      </c>
      <c r="W28" s="39">
        <f t="shared" si="13"/>
        <v>0</v>
      </c>
      <c r="X28" s="19" t="str">
        <f t="shared" si="14"/>
        <v>-</v>
      </c>
      <c r="Y28" s="18">
        <f>'2025 LTPL'!Y28+'2025 RCL'!Y28</f>
        <v>0</v>
      </c>
    </row>
    <row r="29" spans="1:26" x14ac:dyDescent="0.2">
      <c r="A29" s="42"/>
      <c r="B29" s="42">
        <v>1745</v>
      </c>
      <c r="C29" s="14" t="s">
        <v>27</v>
      </c>
      <c r="D29" s="15">
        <f>+'2024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'2025 LTPL'!V29+'2025 RCL'!V29</f>
        <v>0</v>
      </c>
      <c r="W29" s="39">
        <f t="shared" si="13"/>
        <v>0</v>
      </c>
      <c r="X29" s="19" t="str">
        <f t="shared" si="14"/>
        <v>-</v>
      </c>
      <c r="Y29" s="18">
        <f>'2025 LTPL'!Y29+'2025 RCL'!Y29</f>
        <v>0</v>
      </c>
    </row>
    <row r="30" spans="1:26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85</v>
      </c>
      <c r="W30" s="49" t="s">
        <v>55</v>
      </c>
      <c r="X30" s="49" t="s">
        <v>56</v>
      </c>
      <c r="Y30" s="49" t="s">
        <v>86</v>
      </c>
    </row>
    <row r="31" spans="1:26" x14ac:dyDescent="0.2">
      <c r="A31" s="42"/>
      <c r="B31" s="42">
        <v>1905</v>
      </c>
      <c r="C31" s="14" t="s">
        <v>30</v>
      </c>
      <c r="D31" s="15">
        <f>+'2024 Combined'!G31</f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+'2024 Combined'!L31</f>
        <v>0</v>
      </c>
      <c r="J31" s="30">
        <f t="shared" ref="J31:J46" si="17">Y31</f>
        <v>0</v>
      </c>
      <c r="K31" s="15"/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+T31+U31/2</f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>IF(V31=0,0,V31*X31)</f>
        <v>0</v>
      </c>
    </row>
    <row r="32" spans="1:26" x14ac:dyDescent="0.2">
      <c r="A32" s="42">
        <v>10.1</v>
      </c>
      <c r="B32" s="42">
        <v>1908</v>
      </c>
      <c r="C32" s="14" t="s">
        <v>15</v>
      </c>
      <c r="D32" s="15">
        <f>+'2024 Combined'!G32</f>
        <v>396998.98000000004</v>
      </c>
      <c r="E32" s="15">
        <v>0</v>
      </c>
      <c r="F32" s="15">
        <v>0</v>
      </c>
      <c r="G32" s="16">
        <f t="shared" si="16"/>
        <v>396998.98000000004</v>
      </c>
      <c r="H32" s="15">
        <v>50</v>
      </c>
      <c r="I32" s="15">
        <f>+'2024 Combined'!L32</f>
        <v>0</v>
      </c>
      <c r="J32" s="30">
        <f t="shared" si="17"/>
        <v>7939.9796000000006</v>
      </c>
      <c r="K32" s="15"/>
      <c r="L32" s="16">
        <f t="shared" si="18"/>
        <v>7939.9796000000006</v>
      </c>
      <c r="M32" s="18">
        <f t="shared" si="15"/>
        <v>389059.00040000002</v>
      </c>
      <c r="O32" s="42">
        <v>10.1</v>
      </c>
      <c r="P32" s="42">
        <v>1908</v>
      </c>
      <c r="Q32" s="14" t="s">
        <v>15</v>
      </c>
      <c r="R32" s="18">
        <f t="shared" si="3"/>
        <v>396998.98000000004</v>
      </c>
      <c r="S32" s="32">
        <v>0</v>
      </c>
      <c r="T32" s="18">
        <f t="shared" si="4"/>
        <v>396998.98000000004</v>
      </c>
      <c r="U32" s="18">
        <f t="shared" si="5"/>
        <v>0</v>
      </c>
      <c r="V32" s="18">
        <f t="shared" ref="V32:V43" si="21">+T32+U32/2</f>
        <v>396998.98000000004</v>
      </c>
      <c r="W32" s="39">
        <f t="shared" si="19"/>
        <v>50</v>
      </c>
      <c r="X32" s="19">
        <f t="shared" si="20"/>
        <v>0.02</v>
      </c>
      <c r="Y32" s="18">
        <f>+X32*V32</f>
        <v>7939.9796000000006</v>
      </c>
      <c r="Z32" s="6"/>
    </row>
    <row r="33" spans="1:26" x14ac:dyDescent="0.2">
      <c r="A33" s="42"/>
      <c r="B33" s="42">
        <v>1910</v>
      </c>
      <c r="C33" s="14" t="s">
        <v>26</v>
      </c>
      <c r="D33" s="15">
        <f>+'2024 Combined'!G33</f>
        <v>228961.33</v>
      </c>
      <c r="E33" s="15"/>
      <c r="F33" s="15"/>
      <c r="G33" s="16">
        <f t="shared" si="16"/>
        <v>228961.33</v>
      </c>
      <c r="H33" s="15">
        <v>5</v>
      </c>
      <c r="I33" s="15">
        <f>+'2024 Combined'!L33</f>
        <v>0</v>
      </c>
      <c r="J33" s="30">
        <f t="shared" ref="J33" si="22">Y33</f>
        <v>45792.266000000003</v>
      </c>
      <c r="K33" s="15"/>
      <c r="L33" s="16">
        <f t="shared" ref="L33" si="23">SUM(I33:K33)</f>
        <v>45792.266000000003</v>
      </c>
      <c r="M33" s="18">
        <f t="shared" ref="M33" si="24">G33-L33</f>
        <v>183169.06399999998</v>
      </c>
      <c r="O33" s="42">
        <v>10.1</v>
      </c>
      <c r="P33" s="42">
        <v>1908</v>
      </c>
      <c r="Q33" s="14" t="s">
        <v>15</v>
      </c>
      <c r="R33" s="18">
        <f t="shared" ref="R33" si="25">D33</f>
        <v>228961.33</v>
      </c>
      <c r="S33" s="32">
        <v>0</v>
      </c>
      <c r="T33" s="18">
        <f t="shared" ref="T33" si="26">R33-S33</f>
        <v>228961.33</v>
      </c>
      <c r="U33" s="18">
        <f t="shared" ref="U33" si="27">E33</f>
        <v>0</v>
      </c>
      <c r="V33" s="18">
        <f t="shared" si="21"/>
        <v>228961.33</v>
      </c>
      <c r="W33" s="39">
        <f t="shared" ref="W33" si="28">H33</f>
        <v>5</v>
      </c>
      <c r="X33" s="19">
        <f t="shared" ref="X33" si="29">IF(H33=0,"-",1/W33)</f>
        <v>0.2</v>
      </c>
      <c r="Y33" s="18">
        <f t="shared" ref="Y33:Y42" si="30">+X33*V33</f>
        <v>45792.266000000003</v>
      </c>
      <c r="Z33" s="6"/>
    </row>
    <row r="34" spans="1:26" x14ac:dyDescent="0.2">
      <c r="A34" s="42">
        <v>8</v>
      </c>
      <c r="B34" s="42">
        <v>1915</v>
      </c>
      <c r="C34" s="14" t="s">
        <v>32</v>
      </c>
      <c r="D34" s="15">
        <f>+'2024 Combined'!G34</f>
        <v>0</v>
      </c>
      <c r="E34" s="15">
        <v>100250</v>
      </c>
      <c r="F34" s="15">
        <v>0</v>
      </c>
      <c r="G34" s="16">
        <f t="shared" si="16"/>
        <v>100250</v>
      </c>
      <c r="H34" s="15">
        <v>10</v>
      </c>
      <c r="I34" s="15">
        <f>+'2024 Combined'!L34</f>
        <v>0</v>
      </c>
      <c r="J34" s="30">
        <f t="shared" si="17"/>
        <v>5012.5</v>
      </c>
      <c r="K34" s="15"/>
      <c r="L34" s="16">
        <f t="shared" si="18"/>
        <v>5012.5</v>
      </c>
      <c r="M34" s="18">
        <f t="shared" si="15"/>
        <v>95237.5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100250</v>
      </c>
      <c r="V34" s="18">
        <f t="shared" si="21"/>
        <v>50125</v>
      </c>
      <c r="W34" s="39">
        <f t="shared" si="19"/>
        <v>10</v>
      </c>
      <c r="X34" s="19">
        <f t="shared" si="20"/>
        <v>0.1</v>
      </c>
      <c r="Y34" s="18">
        <f t="shared" si="30"/>
        <v>5012.5</v>
      </c>
      <c r="Z34" s="6"/>
    </row>
    <row r="35" spans="1:26" x14ac:dyDescent="0.2">
      <c r="A35" s="42"/>
      <c r="B35" s="42">
        <v>1920</v>
      </c>
      <c r="C35" s="14" t="s">
        <v>33</v>
      </c>
      <c r="D35" s="15">
        <f>+'2024 Combined'!G35</f>
        <v>356556.18</v>
      </c>
      <c r="E35" s="15">
        <v>280203.44760000001</v>
      </c>
      <c r="F35" s="15">
        <v>0</v>
      </c>
      <c r="G35" s="16">
        <f t="shared" si="16"/>
        <v>636759.62760000001</v>
      </c>
      <c r="H35" s="15">
        <v>5</v>
      </c>
      <c r="I35" s="15">
        <f>+'2024 Combined'!L35</f>
        <v>12764.68</v>
      </c>
      <c r="J35" s="30">
        <f t="shared" si="17"/>
        <v>99331.580759999997</v>
      </c>
      <c r="K35" s="15"/>
      <c r="L35" s="16">
        <f t="shared" si="18"/>
        <v>112096.26076</v>
      </c>
      <c r="M35" s="18">
        <f t="shared" si="15"/>
        <v>524663.36684000003</v>
      </c>
      <c r="O35" s="42"/>
      <c r="P35" s="42">
        <v>1920</v>
      </c>
      <c r="Q35" s="14" t="s">
        <v>33</v>
      </c>
      <c r="R35" s="18">
        <f t="shared" si="3"/>
        <v>356556.18</v>
      </c>
      <c r="S35" s="32">
        <v>0</v>
      </c>
      <c r="T35" s="18">
        <f t="shared" si="4"/>
        <v>356556.18</v>
      </c>
      <c r="U35" s="18">
        <f t="shared" si="5"/>
        <v>280203.44760000001</v>
      </c>
      <c r="V35" s="18">
        <f t="shared" si="21"/>
        <v>496657.90379999997</v>
      </c>
      <c r="W35" s="39">
        <v>5</v>
      </c>
      <c r="X35" s="19">
        <f>IF(H35=0,"-",1/W35)</f>
        <v>0.2</v>
      </c>
      <c r="Y35" s="18">
        <f t="shared" si="30"/>
        <v>99331.580759999997</v>
      </c>
      <c r="Z35" s="6"/>
    </row>
    <row r="36" spans="1:26" x14ac:dyDescent="0.2">
      <c r="A36" s="42">
        <v>10.1</v>
      </c>
      <c r="B36" s="42">
        <v>1930</v>
      </c>
      <c r="C36" s="14" t="s">
        <v>34</v>
      </c>
      <c r="D36" s="15">
        <f>+'2024 Combined'!G36</f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+'2024 Combined'!L36</f>
        <v>77695.777000000002</v>
      </c>
      <c r="J36" s="30">
        <f t="shared" si="17"/>
        <v>31078.346000000005</v>
      </c>
      <c r="K36" s="15"/>
      <c r="L36" s="16">
        <f t="shared" si="18"/>
        <v>108774.12300000001</v>
      </c>
      <c r="M36" s="18">
        <f t="shared" si="15"/>
        <v>46617.607000000004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18">
        <f t="shared" si="21"/>
        <v>155391.73000000001</v>
      </c>
      <c r="W36" s="39">
        <f t="shared" si="19"/>
        <v>5</v>
      </c>
      <c r="X36" s="19">
        <f t="shared" si="20"/>
        <v>0.2</v>
      </c>
      <c r="Y36" s="18">
        <f t="shared" si="30"/>
        <v>31078.346000000005</v>
      </c>
      <c r="Z36" s="6"/>
    </row>
    <row r="37" spans="1:26" x14ac:dyDescent="0.2">
      <c r="A37" s="42"/>
      <c r="B37" s="42">
        <v>1935</v>
      </c>
      <c r="C37" s="14" t="s">
        <v>35</v>
      </c>
      <c r="D37" s="15">
        <f>+'2024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+'2024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>
        <v>0</v>
      </c>
      <c r="Y37" s="18">
        <f t="shared" si="30"/>
        <v>0</v>
      </c>
    </row>
    <row r="38" spans="1:26" x14ac:dyDescent="0.2">
      <c r="A38" s="42"/>
      <c r="B38" s="42">
        <v>1940</v>
      </c>
      <c r="C38" s="14" t="s">
        <v>39</v>
      </c>
      <c r="D38" s="15">
        <f>+'2024 Combined'!G38</f>
        <v>168500</v>
      </c>
      <c r="E38" s="15">
        <v>0</v>
      </c>
      <c r="F38" s="15">
        <v>0</v>
      </c>
      <c r="G38" s="16">
        <f t="shared" si="16"/>
        <v>168500</v>
      </c>
      <c r="H38" s="15">
        <v>10</v>
      </c>
      <c r="I38" s="15">
        <f>+'2024 Combined'!L38</f>
        <v>0</v>
      </c>
      <c r="J38" s="30">
        <f t="shared" si="17"/>
        <v>16850</v>
      </c>
      <c r="K38" s="15"/>
      <c r="L38" s="16">
        <f t="shared" si="18"/>
        <v>16850</v>
      </c>
      <c r="M38" s="18">
        <f t="shared" si="15"/>
        <v>151650</v>
      </c>
      <c r="O38" s="42"/>
      <c r="P38" s="42">
        <v>1940</v>
      </c>
      <c r="Q38" s="14" t="s">
        <v>39</v>
      </c>
      <c r="R38" s="18">
        <f t="shared" si="3"/>
        <v>168500</v>
      </c>
      <c r="S38" s="32">
        <v>0</v>
      </c>
      <c r="T38" s="18">
        <f t="shared" si="4"/>
        <v>168500</v>
      </c>
      <c r="U38" s="18">
        <f t="shared" si="5"/>
        <v>0</v>
      </c>
      <c r="V38" s="18">
        <f t="shared" si="21"/>
        <v>168500</v>
      </c>
      <c r="W38" s="39">
        <f t="shared" si="19"/>
        <v>10</v>
      </c>
      <c r="X38" s="19">
        <f t="shared" si="20"/>
        <v>0.1</v>
      </c>
      <c r="Y38" s="18">
        <f t="shared" si="30"/>
        <v>16850</v>
      </c>
      <c r="Z38" s="6"/>
    </row>
    <row r="39" spans="1:26" x14ac:dyDescent="0.2">
      <c r="A39" s="42"/>
      <c r="B39" s="42">
        <v>1945</v>
      </c>
      <c r="C39" s="14" t="s">
        <v>40</v>
      </c>
      <c r="D39" s="15">
        <f>+'2024 Combined'!G39</f>
        <v>8792.5300000000007</v>
      </c>
      <c r="E39" s="15">
        <v>0</v>
      </c>
      <c r="F39" s="15">
        <v>0</v>
      </c>
      <c r="G39" s="16">
        <f t="shared" si="16"/>
        <v>8792.5300000000007</v>
      </c>
      <c r="H39" s="15">
        <v>5</v>
      </c>
      <c r="I39" s="15">
        <f>+'2024 Combined'!L39</f>
        <v>732.71</v>
      </c>
      <c r="J39" s="30">
        <f t="shared" si="17"/>
        <v>1758.5060000000003</v>
      </c>
      <c r="K39" s="15"/>
      <c r="L39" s="16">
        <f t="shared" si="18"/>
        <v>2491.2160000000003</v>
      </c>
      <c r="M39" s="18">
        <f t="shared" si="15"/>
        <v>6301.3140000000003</v>
      </c>
      <c r="O39" s="42"/>
      <c r="P39" s="42">
        <v>1945</v>
      </c>
      <c r="Q39" s="14" t="s">
        <v>40</v>
      </c>
      <c r="R39" s="18">
        <f t="shared" si="3"/>
        <v>8792.5300000000007</v>
      </c>
      <c r="S39" s="32">
        <v>0</v>
      </c>
      <c r="T39" s="18">
        <f t="shared" si="4"/>
        <v>8792.5300000000007</v>
      </c>
      <c r="U39" s="18">
        <f t="shared" si="5"/>
        <v>0</v>
      </c>
      <c r="V39" s="18">
        <f t="shared" si="21"/>
        <v>8792.5300000000007</v>
      </c>
      <c r="W39" s="39">
        <f t="shared" ref="W39" si="31">H39</f>
        <v>5</v>
      </c>
      <c r="X39" s="19">
        <f t="shared" ref="X39" si="32">IF(H39=0,"-",1/W39)</f>
        <v>0.2</v>
      </c>
      <c r="Y39" s="18">
        <f t="shared" si="30"/>
        <v>1758.5060000000003</v>
      </c>
      <c r="Z39" s="6"/>
    </row>
    <row r="40" spans="1:26" x14ac:dyDescent="0.2">
      <c r="A40" s="42"/>
      <c r="B40" s="42">
        <v>1950</v>
      </c>
      <c r="C40" s="14" t="s">
        <v>41</v>
      </c>
      <c r="D40" s="15">
        <f>+'2024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>
        <f>+'2024 Combined'!L40</f>
        <v>0</v>
      </c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>
        <v>0</v>
      </c>
      <c r="Y40" s="18">
        <f t="shared" si="30"/>
        <v>0</v>
      </c>
    </row>
    <row r="41" spans="1:26" x14ac:dyDescent="0.2">
      <c r="A41" s="42"/>
      <c r="B41" s="42">
        <v>1955</v>
      </c>
      <c r="C41" s="14" t="s">
        <v>42</v>
      </c>
      <c r="D41" s="15">
        <f>+'2024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>
        <f>+'2024 Combined'!L41</f>
        <v>0</v>
      </c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>
        <v>0</v>
      </c>
      <c r="Y41" s="18">
        <f t="shared" si="30"/>
        <v>0</v>
      </c>
    </row>
    <row r="42" spans="1:26" x14ac:dyDescent="0.2">
      <c r="A42" s="42"/>
      <c r="B42" s="42">
        <v>1960</v>
      </c>
      <c r="C42" s="14" t="s">
        <v>43</v>
      </c>
      <c r="D42" s="15">
        <f>+'2024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>
        <f>+'2024 Combined'!L42</f>
        <v>0</v>
      </c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>
        <v>0</v>
      </c>
      <c r="Y42" s="18">
        <f t="shared" si="30"/>
        <v>0</v>
      </c>
    </row>
    <row r="43" spans="1:26" x14ac:dyDescent="0.2">
      <c r="A43" s="42"/>
      <c r="B43" s="42">
        <v>1980</v>
      </c>
      <c r="C43" s="14" t="s">
        <v>44</v>
      </c>
      <c r="D43" s="15">
        <f>+'2024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>
        <f>+'2024 Combined'!L43</f>
        <v>0</v>
      </c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>
        <v>0</v>
      </c>
      <c r="Y43" s="18">
        <f t="shared" ref="Y43:Y46" si="33">IF(V43=0,0,V43*X43)</f>
        <v>0</v>
      </c>
    </row>
    <row r="44" spans="1:26" x14ac:dyDescent="0.2">
      <c r="A44" s="42"/>
      <c r="B44" s="42">
        <v>1995</v>
      </c>
      <c r="C44" s="14" t="s">
        <v>12</v>
      </c>
      <c r="D44" s="15">
        <f>+'2024 Combined'!G44</f>
        <v>-487134094.07999998</v>
      </c>
      <c r="E44" s="15">
        <v>0</v>
      </c>
      <c r="F44" s="15">
        <v>0</v>
      </c>
      <c r="G44" s="16">
        <f t="shared" si="16"/>
        <v>-487134094.07999998</v>
      </c>
      <c r="H44" s="15" t="s">
        <v>147</v>
      </c>
      <c r="I44" s="15">
        <f>+'2024 Combined'!L44</f>
        <v>-10876171.242009781</v>
      </c>
      <c r="J44" s="30">
        <f t="shared" si="17"/>
        <v>-9987579.0980601441</v>
      </c>
      <c r="K44" s="15"/>
      <c r="L44" s="16">
        <f t="shared" si="18"/>
        <v>-20863750.340069927</v>
      </c>
      <c r="M44" s="18">
        <f t="shared" si="15"/>
        <v>-466270343.73993003</v>
      </c>
      <c r="O44" s="42"/>
      <c r="P44" s="42">
        <v>1995</v>
      </c>
      <c r="Q44" s="14" t="s">
        <v>12</v>
      </c>
      <c r="R44" s="18">
        <f t="shared" si="3"/>
        <v>-487134094.07999998</v>
      </c>
      <c r="S44" s="32">
        <v>0</v>
      </c>
      <c r="T44" s="18">
        <f t="shared" si="4"/>
        <v>-487134094.07999998</v>
      </c>
      <c r="U44" s="18">
        <f t="shared" si="5"/>
        <v>0</v>
      </c>
      <c r="V44" s="18">
        <f t="shared" ref="V44:V46" si="34">T44+U44*8/12</f>
        <v>-487134094.07999998</v>
      </c>
      <c r="W44" s="39" t="str">
        <f t="shared" si="19"/>
        <v>Note 1</v>
      </c>
      <c r="X44" s="19" t="s">
        <v>147</v>
      </c>
      <c r="Y44" s="18">
        <v>-9987579.0980601441</v>
      </c>
    </row>
    <row r="45" spans="1:26" x14ac:dyDescent="0.2">
      <c r="A45" s="43"/>
      <c r="B45" s="43">
        <v>2440</v>
      </c>
      <c r="C45" s="40" t="s">
        <v>57</v>
      </c>
      <c r="D45" s="15">
        <f>+'2024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>
        <f>+'2024 Combined'!L45</f>
        <v>0</v>
      </c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34"/>
        <v>0</v>
      </c>
      <c r="W45" s="39">
        <f t="shared" si="19"/>
        <v>0</v>
      </c>
      <c r="X45" s="19" t="str">
        <f t="shared" si="20"/>
        <v>-</v>
      </c>
      <c r="Y45" s="18">
        <f t="shared" si="33"/>
        <v>0</v>
      </c>
    </row>
    <row r="46" spans="1:26" x14ac:dyDescent="0.2">
      <c r="A46" s="42"/>
      <c r="B46" s="42"/>
      <c r="C46" s="14"/>
      <c r="D46" s="15">
        <f>+'2024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/>
      <c r="J46" s="30">
        <f t="shared" si="17"/>
        <v>0</v>
      </c>
      <c r="K46" s="15"/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34"/>
        <v>0</v>
      </c>
      <c r="W46" s="39">
        <f>H46</f>
        <v>0</v>
      </c>
      <c r="X46" s="19" t="str">
        <f t="shared" si="20"/>
        <v>-</v>
      </c>
      <c r="Y46" s="18">
        <f t="shared" si="33"/>
        <v>0</v>
      </c>
    </row>
    <row r="47" spans="1:26" s="4" customFormat="1" x14ac:dyDescent="0.2">
      <c r="A47" s="44"/>
      <c r="B47" s="44"/>
      <c r="C47" s="20" t="s">
        <v>58</v>
      </c>
      <c r="D47" s="22">
        <f>SUM(D12:D15,D17:D29,D31:D46)</f>
        <v>1320380756.5299997</v>
      </c>
      <c r="E47" s="22">
        <f>SUM(E12:E15,E17:E29,E31:E46)</f>
        <v>1680453.4476000001</v>
      </c>
      <c r="F47" s="22">
        <f>SUM(F12:F15,F17:F29,F31:F46)</f>
        <v>0</v>
      </c>
      <c r="G47" s="22">
        <f>SUM(G12:G15,G17:G29,G31:G46)</f>
        <v>1322061209.9775996</v>
      </c>
      <c r="H47" s="33"/>
      <c r="I47" s="22">
        <f>SUM(I12:I15,I17:I29,I31:I46)</f>
        <v>47857513.494990215</v>
      </c>
      <c r="J47" s="22">
        <f>SUM(J12:J15,J17:J29,J31:J46)</f>
        <v>26625019.114360966</v>
      </c>
      <c r="K47" s="22">
        <f>SUM(K12:K15,K17:K29,K31:K46)</f>
        <v>0</v>
      </c>
      <c r="L47" s="22">
        <f>SUM(L12:L15,L17:L29,L31:L46)</f>
        <v>74482532.609351158</v>
      </c>
      <c r="M47" s="22">
        <f>SUM(M12:M15,M17:M29,M31:M46)</f>
        <v>1247578677.3682485</v>
      </c>
      <c r="N47" s="46"/>
      <c r="O47" s="44"/>
      <c r="P47" s="44"/>
      <c r="Q47" s="20" t="s">
        <v>77</v>
      </c>
      <c r="R47" s="22">
        <f>SUM(R12:R15,R17:R29,R31:R46)</f>
        <v>1320380756.5299997</v>
      </c>
      <c r="S47" s="22">
        <f>SUM(S12:S15,S17:S29,S31:S46)</f>
        <v>0</v>
      </c>
      <c r="T47" s="22">
        <f>SUM(T12:T15,T17:T29,T31:T46)</f>
        <v>1320380756.5299997</v>
      </c>
      <c r="U47" s="22">
        <f>SUM(U12:U15,U17:U29,U31:U46)</f>
        <v>1680453.4476000001</v>
      </c>
      <c r="V47" s="22">
        <f>SUM(V12:V15,V17:V29,V31:V46)</f>
        <v>1321220983.2537997</v>
      </c>
      <c r="W47" s="24"/>
      <c r="X47" s="24"/>
      <c r="Y47" s="22">
        <f>SUM(Y12:Y15,Y17:Y29,Y31:Y45)</f>
        <v>26625019.114360966</v>
      </c>
    </row>
    <row r="48" spans="1:26" x14ac:dyDescent="0.2">
      <c r="A48" s="42"/>
      <c r="B48" s="44">
        <v>2055</v>
      </c>
      <c r="C48" s="20" t="s">
        <v>59</v>
      </c>
      <c r="D48" s="15">
        <v>0</v>
      </c>
      <c r="E48" s="15">
        <v>0</v>
      </c>
      <c r="F48" s="15">
        <v>0</v>
      </c>
      <c r="G48" s="16">
        <f t="shared" ref="G48:G49" si="35">SUM(D48:F48)</f>
        <v>0</v>
      </c>
      <c r="H48" s="33"/>
      <c r="I48" s="15"/>
      <c r="J48" s="15"/>
      <c r="K48" s="15"/>
      <c r="L48" s="16">
        <f t="shared" ref="L48:L49" si="36">SUM(I48:K48)</f>
        <v>0</v>
      </c>
      <c r="M48" s="14"/>
      <c r="O48" s="76" t="s">
        <v>149</v>
      </c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35"/>
        <v>0</v>
      </c>
      <c r="H49" s="33"/>
      <c r="I49" s="15"/>
      <c r="J49" s="15"/>
      <c r="K49" s="15"/>
      <c r="L49" s="16">
        <f t="shared" si="36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1320380756.5299997</v>
      </c>
      <c r="E50" s="16">
        <f>SUM(E47:E49)</f>
        <v>1680453.4476000001</v>
      </c>
      <c r="F50" s="16">
        <f>SUM(F47:F49)</f>
        <v>0</v>
      </c>
      <c r="G50" s="16">
        <f>SUM(G47:G49)</f>
        <v>1322061209.9775996</v>
      </c>
      <c r="H50" s="33"/>
      <c r="I50" s="16">
        <f>SUM(I47:I49)</f>
        <v>47857513.494990215</v>
      </c>
      <c r="J50" s="16">
        <f>SUM(J47:J49)</f>
        <v>26625019.114360966</v>
      </c>
      <c r="K50" s="16">
        <f>SUM(K47:K49)</f>
        <v>0</v>
      </c>
      <c r="L50" s="16">
        <f>SUM(L47:L49)</f>
        <v>74482532.609351158</v>
      </c>
      <c r="M50" s="16">
        <f>SUM(M47:M49)</f>
        <v>1247578677.3682485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8" t="s">
        <v>62</v>
      </c>
      <c r="D51" s="88"/>
      <c r="E51" s="88"/>
      <c r="F51" s="88"/>
      <c r="G51" s="88"/>
      <c r="H51" s="88"/>
      <c r="I51" s="88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9" t="s">
        <v>63</v>
      </c>
      <c r="D52" s="89"/>
      <c r="E52" s="89"/>
      <c r="F52" s="89"/>
      <c r="G52" s="89"/>
      <c r="H52" s="89"/>
      <c r="I52" s="89"/>
      <c r="J52" s="16">
        <f>J50+J51</f>
        <v>26625019.114360966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14.45" customHeight="1" x14ac:dyDescent="0.2">
      <c r="A53" s="76" t="s">
        <v>148</v>
      </c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26625019.114360966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A2:M2"/>
    <mergeCell ref="D4:E4"/>
    <mergeCell ref="D7:H7"/>
    <mergeCell ref="D9:G9"/>
    <mergeCell ref="I9:L9"/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Header>&amp;REB-2025-0192</oddHeader>
    <oddFooter>&amp;L&amp;"Times New Roman,Regular"&amp;8 53141182.2</oddFooter>
  </headerFooter>
  <colBreaks count="1" manualBreakCount="1">
    <brk id="8" max="4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4692-0749-430B-A8FA-B9A9ABF129F6}">
  <sheetPr>
    <pageSetUpPr fitToPage="1"/>
  </sheetPr>
  <dimension ref="A2:Z62"/>
  <sheetViews>
    <sheetView showGridLines="0" view="pageBreakPreview" zoomScale="115" zoomScaleNormal="100" zoomScaleSheetLayoutView="115" workbookViewId="0">
      <pane xSplit="3" ySplit="10" topLeftCell="D11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3" t="s">
        <v>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2025</v>
      </c>
      <c r="T5" s="48" t="s">
        <v>74</v>
      </c>
      <c r="U5" s="41">
        <f>F5</f>
        <v>2025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85</v>
      </c>
      <c r="W16" s="49" t="s">
        <v>55</v>
      </c>
      <c r="X16" s="49" t="s">
        <v>56</v>
      </c>
      <c r="Y16" s="49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+'2023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+'2023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>+T17+U17/2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 t="shared" ref="Y17:Y29" si="15">IF(H17=0,0,V17*X17)</f>
        <v>0</v>
      </c>
    </row>
    <row r="18" spans="1:26" x14ac:dyDescent="0.2">
      <c r="A18" s="42"/>
      <c r="B18" s="42">
        <v>1706</v>
      </c>
      <c r="C18" s="14" t="s">
        <v>25</v>
      </c>
      <c r="D18" s="15">
        <f>+'2023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+'2023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ref="V18:V29" si="16">+T18+U18/2</f>
        <v>0</v>
      </c>
      <c r="W18" s="39">
        <f t="shared" si="13"/>
        <v>0</v>
      </c>
      <c r="X18" s="19" t="str">
        <f t="shared" si="14"/>
        <v>-</v>
      </c>
      <c r="Y18" s="18">
        <f t="shared" si="15"/>
        <v>0</v>
      </c>
    </row>
    <row r="19" spans="1:26" x14ac:dyDescent="0.2">
      <c r="A19" s="42"/>
      <c r="B19" s="42">
        <v>1708</v>
      </c>
      <c r="C19" s="14" t="s">
        <v>31</v>
      </c>
      <c r="D19" s="15">
        <f>+'2023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+'2023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6"/>
        <v>0</v>
      </c>
      <c r="W19" s="39">
        <f t="shared" si="13"/>
        <v>0</v>
      </c>
      <c r="X19" s="19" t="str">
        <f t="shared" si="14"/>
        <v>-</v>
      </c>
      <c r="Y19" s="18">
        <f t="shared" si="15"/>
        <v>0</v>
      </c>
    </row>
    <row r="20" spans="1:26" x14ac:dyDescent="0.2">
      <c r="A20" s="42"/>
      <c r="B20" s="42">
        <v>1710</v>
      </c>
      <c r="C20" s="14" t="s">
        <v>26</v>
      </c>
      <c r="D20" s="15">
        <f>+'2023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+'2023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6"/>
        <v>0</v>
      </c>
      <c r="W20" s="39">
        <f t="shared" si="13"/>
        <v>0</v>
      </c>
      <c r="X20" s="19" t="str">
        <f t="shared" si="14"/>
        <v>-</v>
      </c>
      <c r="Y20" s="18">
        <f t="shared" si="15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LTPL'!G21</f>
        <v>45706801.499999985</v>
      </c>
      <c r="E21" s="15">
        <v>0</v>
      </c>
      <c r="F21" s="15">
        <v>0</v>
      </c>
      <c r="G21" s="16">
        <f t="shared" si="9"/>
        <v>45706801.499999985</v>
      </c>
      <c r="H21" s="38">
        <f>'2025 Combined'!H21</f>
        <v>50</v>
      </c>
      <c r="I21" s="32">
        <f>+'2024 LTPL'!L21</f>
        <v>1860971.66</v>
      </c>
      <c r="J21" s="30">
        <f t="shared" si="10"/>
        <v>914136.02999999968</v>
      </c>
      <c r="K21" s="32"/>
      <c r="L21" s="16">
        <f t="shared" si="11"/>
        <v>2775107.6899999995</v>
      </c>
      <c r="M21" s="18">
        <f t="shared" si="12"/>
        <v>42931693.809999987</v>
      </c>
      <c r="O21" s="42">
        <v>47</v>
      </c>
      <c r="P21" s="42">
        <v>1715</v>
      </c>
      <c r="Q21" s="14" t="s">
        <v>14</v>
      </c>
      <c r="R21" s="18">
        <f t="shared" si="2"/>
        <v>45706801.499999985</v>
      </c>
      <c r="S21" s="32">
        <v>0</v>
      </c>
      <c r="T21" s="18">
        <f t="shared" si="3"/>
        <v>45706801.499999985</v>
      </c>
      <c r="U21" s="18">
        <f t="shared" si="4"/>
        <v>0</v>
      </c>
      <c r="V21" s="18">
        <f t="shared" si="16"/>
        <v>45706801.499999985</v>
      </c>
      <c r="W21" s="39">
        <f t="shared" si="13"/>
        <v>50</v>
      </c>
      <c r="X21" s="19">
        <f t="shared" si="14"/>
        <v>0.02</v>
      </c>
      <c r="Y21" s="18">
        <f>+V21*X21</f>
        <v>914136.02999999968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LTPL'!G22</f>
        <v>6211421.1399999997</v>
      </c>
      <c r="E22" s="15">
        <v>0</v>
      </c>
      <c r="F22" s="15">
        <v>0</v>
      </c>
      <c r="G22" s="16">
        <f t="shared" si="9"/>
        <v>6211421.1399999997</v>
      </c>
      <c r="H22" s="38">
        <f>'2025 Combined'!H22</f>
        <v>40</v>
      </c>
      <c r="I22" s="32">
        <f>+'2024 LTPL'!L22</f>
        <v>361901.63</v>
      </c>
      <c r="J22" s="30">
        <f t="shared" si="10"/>
        <v>155285.52849999999</v>
      </c>
      <c r="K22" s="32"/>
      <c r="L22" s="16">
        <f t="shared" si="11"/>
        <v>517187.15850000002</v>
      </c>
      <c r="M22" s="18">
        <f t="shared" si="12"/>
        <v>5694233.9814999998</v>
      </c>
      <c r="O22" s="42">
        <v>47</v>
      </c>
      <c r="P22" s="42" t="s">
        <v>10</v>
      </c>
      <c r="Q22" s="14" t="s">
        <v>21</v>
      </c>
      <c r="R22" s="18">
        <f t="shared" si="2"/>
        <v>6211421.1399999997</v>
      </c>
      <c r="S22" s="32">
        <v>0</v>
      </c>
      <c r="T22" s="18">
        <f t="shared" si="3"/>
        <v>6211421.1399999997</v>
      </c>
      <c r="U22" s="18">
        <f t="shared" si="4"/>
        <v>0</v>
      </c>
      <c r="V22" s="18">
        <f t="shared" si="16"/>
        <v>6211421.1399999997</v>
      </c>
      <c r="W22" s="39">
        <f t="shared" si="13"/>
        <v>40</v>
      </c>
      <c r="X22" s="19">
        <f t="shared" si="14"/>
        <v>2.5000000000000001E-2</v>
      </c>
      <c r="Y22" s="18">
        <f t="shared" ref="Y22:Y26" si="17">+V22*X22</f>
        <v>155285.52849999999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LTPL'!G23</f>
        <v>1491469.7</v>
      </c>
      <c r="E23" s="15">
        <v>0</v>
      </c>
      <c r="F23" s="15">
        <v>0</v>
      </c>
      <c r="G23" s="16">
        <f t="shared" si="9"/>
        <v>1491469.7</v>
      </c>
      <c r="H23" s="38">
        <f>'2025 Combined'!H23</f>
        <v>20</v>
      </c>
      <c r="I23" s="32">
        <f>+'2024 LTPL'!L23</f>
        <v>173918.88</v>
      </c>
      <c r="J23" s="30">
        <f t="shared" si="10"/>
        <v>74573.485000000001</v>
      </c>
      <c r="K23" s="32"/>
      <c r="L23" s="16">
        <f t="shared" si="11"/>
        <v>248492.36499999999</v>
      </c>
      <c r="M23" s="18">
        <f>G23-L23</f>
        <v>1242977.335</v>
      </c>
      <c r="O23" s="42">
        <v>47</v>
      </c>
      <c r="P23" s="42" t="s">
        <v>11</v>
      </c>
      <c r="Q23" s="14" t="s">
        <v>22</v>
      </c>
      <c r="R23" s="18">
        <f t="shared" si="2"/>
        <v>1491469.7</v>
      </c>
      <c r="S23" s="32">
        <v>0</v>
      </c>
      <c r="T23" s="18">
        <f t="shared" si="3"/>
        <v>1491469.7</v>
      </c>
      <c r="U23" s="18">
        <f t="shared" si="4"/>
        <v>0</v>
      </c>
      <c r="V23" s="18">
        <f t="shared" si="16"/>
        <v>1491469.7</v>
      </c>
      <c r="W23" s="39">
        <f t="shared" si="13"/>
        <v>20</v>
      </c>
      <c r="X23" s="19">
        <f t="shared" si="14"/>
        <v>0.05</v>
      </c>
      <c r="Y23" s="18">
        <f t="shared" si="17"/>
        <v>74573.485000000001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+'2024 LTPL'!G24</f>
        <v>114421782.53</v>
      </c>
      <c r="E24" s="15">
        <v>0</v>
      </c>
      <c r="F24" s="15">
        <v>0</v>
      </c>
      <c r="G24" s="16">
        <f t="shared" si="9"/>
        <v>114421782.53</v>
      </c>
      <c r="H24" s="38">
        <f>'2025 Combined'!H24</f>
        <v>60</v>
      </c>
      <c r="I24" s="32">
        <f>+'2024 LTPL'!L24</f>
        <v>4407147.379999999</v>
      </c>
      <c r="J24" s="30">
        <f t="shared" si="10"/>
        <v>1907029.7088333333</v>
      </c>
      <c r="K24" s="32"/>
      <c r="L24" s="16">
        <f t="shared" si="11"/>
        <v>6314177.0888333321</v>
      </c>
      <c r="M24" s="18">
        <f t="shared" ref="M24:M45" si="18">G24-L24</f>
        <v>108107605.44116667</v>
      </c>
      <c r="O24" s="42">
        <v>47</v>
      </c>
      <c r="P24" s="42">
        <v>1720</v>
      </c>
      <c r="Q24" s="14" t="s">
        <v>16</v>
      </c>
      <c r="R24" s="18">
        <f t="shared" si="2"/>
        <v>114421782.53</v>
      </c>
      <c r="S24" s="32">
        <v>0</v>
      </c>
      <c r="T24" s="18">
        <f t="shared" si="3"/>
        <v>114421782.53</v>
      </c>
      <c r="U24" s="18">
        <f t="shared" si="4"/>
        <v>0</v>
      </c>
      <c r="V24" s="18">
        <f t="shared" si="16"/>
        <v>114421782.53</v>
      </c>
      <c r="W24" s="39">
        <f t="shared" si="13"/>
        <v>60</v>
      </c>
      <c r="X24" s="19">
        <f t="shared" si="14"/>
        <v>1.6666666666666666E-2</v>
      </c>
      <c r="Y24" s="18">
        <f t="shared" si="17"/>
        <v>1907029.7088333333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+'2024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+'2024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6"/>
        <v>0</v>
      </c>
      <c r="W25" s="39">
        <f t="shared" si="13"/>
        <v>0</v>
      </c>
      <c r="X25" s="19">
        <v>0</v>
      </c>
      <c r="Y25" s="18">
        <f t="shared" si="17"/>
        <v>0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+'2024 LTPL'!G26</f>
        <v>153460832.95999998</v>
      </c>
      <c r="E26" s="15">
        <v>0</v>
      </c>
      <c r="F26" s="15">
        <v>0</v>
      </c>
      <c r="G26" s="16">
        <f t="shared" si="9"/>
        <v>153460832.95999998</v>
      </c>
      <c r="H26" s="38">
        <f>'2025 Combined'!H26</f>
        <v>45</v>
      </c>
      <c r="I26" s="32">
        <f>+'2024 LTPL'!L26</f>
        <v>7351218.7200000007</v>
      </c>
      <c r="J26" s="30">
        <f t="shared" si="10"/>
        <v>3410240.7324444442</v>
      </c>
      <c r="K26" s="32"/>
      <c r="L26" s="16">
        <f t="shared" si="11"/>
        <v>10761459.452444445</v>
      </c>
      <c r="M26" s="18">
        <f t="shared" si="18"/>
        <v>142699373.50755554</v>
      </c>
      <c r="O26" s="42">
        <v>47</v>
      </c>
      <c r="P26" s="42">
        <v>1730</v>
      </c>
      <c r="Q26" s="14" t="s">
        <v>18</v>
      </c>
      <c r="R26" s="18">
        <f t="shared" si="2"/>
        <v>153460832.95999998</v>
      </c>
      <c r="S26" s="32">
        <v>0</v>
      </c>
      <c r="T26" s="18">
        <f t="shared" si="3"/>
        <v>153460832.95999998</v>
      </c>
      <c r="U26" s="18">
        <f t="shared" si="4"/>
        <v>0</v>
      </c>
      <c r="V26" s="18">
        <f t="shared" si="16"/>
        <v>153460832.95999998</v>
      </c>
      <c r="W26" s="39">
        <f t="shared" si="13"/>
        <v>45</v>
      </c>
      <c r="X26" s="19">
        <f t="shared" si="14"/>
        <v>2.2222222222222223E-2</v>
      </c>
      <c r="Y26" s="18">
        <f t="shared" si="17"/>
        <v>3410240.7324444442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+'2023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+'2023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6"/>
        <v>0</v>
      </c>
      <c r="W27" s="39">
        <f t="shared" si="13"/>
        <v>0</v>
      </c>
      <c r="X27" s="19" t="str">
        <f t="shared" si="14"/>
        <v>-</v>
      </c>
      <c r="Y27" s="18">
        <f t="shared" si="15"/>
        <v>0</v>
      </c>
    </row>
    <row r="28" spans="1:26" x14ac:dyDescent="0.2">
      <c r="A28" s="42"/>
      <c r="B28" s="42">
        <v>1740</v>
      </c>
      <c r="C28" s="14" t="s">
        <v>20</v>
      </c>
      <c r="D28" s="15">
        <f>+'2023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+'2023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6"/>
        <v>0</v>
      </c>
      <c r="W28" s="39">
        <f t="shared" si="13"/>
        <v>0</v>
      </c>
      <c r="X28" s="19" t="str">
        <f t="shared" si="14"/>
        <v>-</v>
      </c>
      <c r="Y28" s="18">
        <f t="shared" si="15"/>
        <v>0</v>
      </c>
    </row>
    <row r="29" spans="1:26" x14ac:dyDescent="0.2">
      <c r="A29" s="42"/>
      <c r="B29" s="42">
        <v>1745</v>
      </c>
      <c r="C29" s="14" t="s">
        <v>27</v>
      </c>
      <c r="D29" s="15">
        <f>+'2023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+'2023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6"/>
        <v>0</v>
      </c>
      <c r="W29" s="39">
        <f t="shared" si="13"/>
        <v>0</v>
      </c>
      <c r="X29" s="19" t="str">
        <f t="shared" si="14"/>
        <v>-</v>
      </c>
      <c r="Y29" s="18">
        <f t="shared" si="15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321292307.82999998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321292307.82999998</v>
      </c>
      <c r="H46" s="33"/>
      <c r="I46" s="22">
        <f>SUM(I12:I15,I17:I29,I31:I45)</f>
        <v>14155158.27</v>
      </c>
      <c r="J46" s="22">
        <f>SUM(J12:J15,J17:J29,J31:J45)</f>
        <v>6461265.4847777765</v>
      </c>
      <c r="K46" s="22">
        <f>SUM(K12:K15,K17:K29,K31:K45)</f>
        <v>0</v>
      </c>
      <c r="L46" s="22">
        <f>SUM(L12:L15,L17:L29,L31:L45)</f>
        <v>20616423.754777778</v>
      </c>
      <c r="M46" s="22">
        <f>SUM(M12:M15,M17:M29,M31:M45)</f>
        <v>300675884.07522219</v>
      </c>
      <c r="N46" s="23"/>
      <c r="O46" s="44"/>
      <c r="P46" s="44"/>
      <c r="Q46" s="20" t="s">
        <v>77</v>
      </c>
      <c r="R46" s="22">
        <f>SUM(R12:R15,R17:R29,R31:R45)</f>
        <v>321292307.82999998</v>
      </c>
      <c r="S46" s="22">
        <f>SUM(S12:S15,S17:S29,S31:S45)</f>
        <v>0</v>
      </c>
      <c r="T46" s="22">
        <f>SUM(T12:T15,T17:T29,T31:T45)</f>
        <v>321292307.82999998</v>
      </c>
      <c r="U46" s="22">
        <f>SUM(U12:U15,U17:U29,U31:U45)</f>
        <v>0</v>
      </c>
      <c r="V46" s="22">
        <f>SUM(V12:V15,V17:V29,V31:V45)</f>
        <v>321292307.82999998</v>
      </c>
      <c r="W46" s="24"/>
      <c r="X46" s="24"/>
      <c r="Y46" s="22">
        <f>SUM(Y12:Y15,Y17:Y29,Y31:Y44)</f>
        <v>6461265.4847777765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321292307.82999998</v>
      </c>
      <c r="E49" s="16">
        <f>SUM(E46:E48)</f>
        <v>0</v>
      </c>
      <c r="F49" s="16">
        <f>SUM(F46:F48)</f>
        <v>0</v>
      </c>
      <c r="G49" s="16">
        <f>SUM(G46:G48)</f>
        <v>321292307.82999998</v>
      </c>
      <c r="H49" s="33"/>
      <c r="I49" s="16">
        <f>SUM(I46:I48)</f>
        <v>14155158.27</v>
      </c>
      <c r="J49" s="16">
        <f>SUM(J46:J48)</f>
        <v>6461265.4847777765</v>
      </c>
      <c r="K49" s="16">
        <f>SUM(K46:K48)</f>
        <v>0</v>
      </c>
      <c r="L49" s="16">
        <f>SUM(L46:L48)</f>
        <v>20616423.754777778</v>
      </c>
      <c r="M49" s="16">
        <f>SUM(M46:M48)</f>
        <v>300675884.07522219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6461265.4847777765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6461265.4847777765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&amp;REB-2025-0192</oddHeader>
    <oddFooter>&amp;L&amp;"Times New Roman,Regular"&amp;8 53141182.2</oddFooter>
  </headerFooter>
  <colBreaks count="1" manualBreakCount="1">
    <brk id="9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01C0-3006-4AAE-8541-3710FF5FA7C1}">
  <sheetPr>
    <pageSetUpPr fitToPage="1"/>
  </sheetPr>
  <dimension ref="A2:Z62"/>
  <sheetViews>
    <sheetView showGridLines="0" view="pageBreakPreview" zoomScale="115" zoomScaleNormal="100" zoomScaleSheetLayoutView="115" workbookViewId="0">
      <pane xSplit="3" ySplit="10" topLeftCell="D11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3.5703125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26" width="9.85546875" style="1" bestFit="1" customWidth="1"/>
    <col min="27" max="16384" width="9.140625" style="1"/>
  </cols>
  <sheetData>
    <row r="2" spans="1:25" ht="21" x14ac:dyDescent="0.35">
      <c r="A2" s="83" t="s">
        <v>81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2025</v>
      </c>
      <c r="T5" s="48" t="s">
        <v>74</v>
      </c>
      <c r="U5" s="41">
        <f>F5</f>
        <v>2025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85</v>
      </c>
      <c r="W16" s="17" t="s">
        <v>55</v>
      </c>
      <c r="X16" s="17" t="s">
        <v>56</v>
      </c>
      <c r="Y16" s="17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+'2024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+'2024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4" si="10">T17+U17/2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6" x14ac:dyDescent="0.2">
      <c r="A18" s="42"/>
      <c r="B18" s="42">
        <v>1706</v>
      </c>
      <c r="C18" s="14" t="s">
        <v>25</v>
      </c>
      <c r="D18" s="15">
        <f>+'2024 RCL'!G18</f>
        <v>54795.57</v>
      </c>
      <c r="E18" s="15">
        <v>0</v>
      </c>
      <c r="F18" s="15">
        <v>0</v>
      </c>
      <c r="G18" s="16">
        <f t="shared" si="4"/>
        <v>54795.57</v>
      </c>
      <c r="H18" s="38">
        <v>40</v>
      </c>
      <c r="I18" s="32">
        <f>+'2024 RCL'!L18</f>
        <v>8219.34</v>
      </c>
      <c r="J18" s="30">
        <f t="shared" si="5"/>
        <v>1369.8892500000002</v>
      </c>
      <c r="K18" s="32"/>
      <c r="L18" s="16">
        <f t="shared" si="6"/>
        <v>9589.2292500000003</v>
      </c>
      <c r="M18" s="18">
        <f t="shared" si="7"/>
        <v>45206.340750000003</v>
      </c>
      <c r="O18" s="42"/>
      <c r="P18" s="42">
        <v>1706</v>
      </c>
      <c r="Q18" s="14" t="s">
        <v>25</v>
      </c>
      <c r="R18" s="18">
        <f t="shared" si="8"/>
        <v>54795.57</v>
      </c>
      <c r="S18" s="32">
        <v>0</v>
      </c>
      <c r="T18" s="18">
        <f t="shared" si="2"/>
        <v>54795.57</v>
      </c>
      <c r="U18" s="18">
        <f t="shared" si="9"/>
        <v>0</v>
      </c>
      <c r="V18" s="18">
        <f t="shared" si="10"/>
        <v>54795.57</v>
      </c>
      <c r="W18" s="39">
        <f t="shared" si="11"/>
        <v>40</v>
      </c>
      <c r="X18" s="19">
        <f t="shared" si="12"/>
        <v>2.5000000000000001E-2</v>
      </c>
      <c r="Y18" s="18">
        <f>+X18*V18</f>
        <v>1369.8892500000002</v>
      </c>
      <c r="Z18" s="3"/>
    </row>
    <row r="19" spans="1:26" x14ac:dyDescent="0.2">
      <c r="A19" s="42"/>
      <c r="B19" s="42">
        <v>1708</v>
      </c>
      <c r="C19" s="14" t="s">
        <v>31</v>
      </c>
      <c r="D19" s="15">
        <f>+'2024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+'2024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>
        <v>0</v>
      </c>
      <c r="Y19" s="18">
        <f t="shared" ref="Y19:Y26" si="14">+X19*V19</f>
        <v>0</v>
      </c>
    </row>
    <row r="20" spans="1:26" x14ac:dyDescent="0.2">
      <c r="A20" s="42"/>
      <c r="B20" s="42">
        <v>1710</v>
      </c>
      <c r="C20" s="14" t="s">
        <v>26</v>
      </c>
      <c r="D20" s="15">
        <f>+'2024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+'2024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>
        <v>0</v>
      </c>
      <c r="Y20" s="18">
        <f t="shared" si="14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RCL'!G21</f>
        <v>327030131.00999969</v>
      </c>
      <c r="E21" s="15">
        <v>0</v>
      </c>
      <c r="F21" s="15">
        <v>0</v>
      </c>
      <c r="G21" s="16">
        <f t="shared" si="4"/>
        <v>327030131.00999969</v>
      </c>
      <c r="H21" s="38">
        <f>'2025 Combined'!H21</f>
        <v>50</v>
      </c>
      <c r="I21" s="32">
        <f>+'2024 RCL'!L21</f>
        <v>9300379.6799999997</v>
      </c>
      <c r="J21" s="30">
        <f t="shared" si="5"/>
        <v>6540602.6201999942</v>
      </c>
      <c r="K21" s="32"/>
      <c r="L21" s="16">
        <f t="shared" si="6"/>
        <v>15840982.300199993</v>
      </c>
      <c r="M21" s="18">
        <f t="shared" si="7"/>
        <v>311189148.70979971</v>
      </c>
      <c r="O21" s="42">
        <v>47</v>
      </c>
      <c r="P21" s="42">
        <v>1715</v>
      </c>
      <c r="Q21" s="14" t="s">
        <v>14</v>
      </c>
      <c r="R21" s="18">
        <f t="shared" si="8"/>
        <v>327030131.00999969</v>
      </c>
      <c r="S21" s="32">
        <v>0</v>
      </c>
      <c r="T21" s="18">
        <f t="shared" si="2"/>
        <v>327030131.00999969</v>
      </c>
      <c r="U21" s="18">
        <f t="shared" si="9"/>
        <v>0</v>
      </c>
      <c r="V21" s="18">
        <f t="shared" si="10"/>
        <v>327030131.00999969</v>
      </c>
      <c r="W21" s="39">
        <f t="shared" si="11"/>
        <v>50</v>
      </c>
      <c r="X21" s="19">
        <f t="shared" si="12"/>
        <v>0.02</v>
      </c>
      <c r="Y21" s="18">
        <f t="shared" si="14"/>
        <v>6540602.6201999942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RCL'!G22</f>
        <v>27667285.099999998</v>
      </c>
      <c r="E22" s="15">
        <v>0</v>
      </c>
      <c r="F22" s="15">
        <v>0</v>
      </c>
      <c r="G22" s="16">
        <f t="shared" si="4"/>
        <v>27667285.099999998</v>
      </c>
      <c r="H22" s="38">
        <f>'2025 Combined'!H22</f>
        <v>40</v>
      </c>
      <c r="I22" s="32">
        <f>+'2024 RCL'!L22</f>
        <v>899827.14000000025</v>
      </c>
      <c r="J22" s="30">
        <f t="shared" si="5"/>
        <v>691682.12749999994</v>
      </c>
      <c r="K22" s="32"/>
      <c r="L22" s="16">
        <f t="shared" si="6"/>
        <v>1591509.2675000001</v>
      </c>
      <c r="M22" s="18">
        <f t="shared" si="7"/>
        <v>26075775.832499996</v>
      </c>
      <c r="O22" s="42">
        <v>47</v>
      </c>
      <c r="P22" s="42" t="s">
        <v>10</v>
      </c>
      <c r="Q22" s="14" t="s">
        <v>21</v>
      </c>
      <c r="R22" s="18">
        <f t="shared" si="8"/>
        <v>27667285.099999998</v>
      </c>
      <c r="S22" s="32">
        <v>0</v>
      </c>
      <c r="T22" s="18">
        <f t="shared" si="2"/>
        <v>27667285.099999998</v>
      </c>
      <c r="U22" s="18">
        <f t="shared" si="9"/>
        <v>0</v>
      </c>
      <c r="V22" s="18">
        <f t="shared" si="10"/>
        <v>27667285.099999998</v>
      </c>
      <c r="W22" s="39">
        <f t="shared" si="11"/>
        <v>40</v>
      </c>
      <c r="X22" s="19">
        <f t="shared" si="12"/>
        <v>2.5000000000000001E-2</v>
      </c>
      <c r="Y22" s="18">
        <f t="shared" si="14"/>
        <v>691682.12749999994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RCL'!G23</f>
        <v>13471551.410000002</v>
      </c>
      <c r="E23" s="15">
        <v>0</v>
      </c>
      <c r="F23" s="15">
        <v>0</v>
      </c>
      <c r="G23" s="16">
        <f t="shared" si="4"/>
        <v>13471551.410000002</v>
      </c>
      <c r="H23" s="38">
        <f>'2025 Combined'!H23</f>
        <v>20</v>
      </c>
      <c r="I23" s="32">
        <f>+'2024 RCL'!L23</f>
        <v>828851.40000000014</v>
      </c>
      <c r="J23" s="30">
        <f t="shared" si="5"/>
        <v>673577.57050000015</v>
      </c>
      <c r="K23" s="32"/>
      <c r="L23" s="16">
        <f t="shared" si="6"/>
        <v>1502428.9705000003</v>
      </c>
      <c r="M23" s="18">
        <f>G23-L23</f>
        <v>11969122.439500002</v>
      </c>
      <c r="O23" s="42">
        <v>47</v>
      </c>
      <c r="P23" s="42" t="s">
        <v>11</v>
      </c>
      <c r="Q23" s="14" t="s">
        <v>22</v>
      </c>
      <c r="R23" s="18">
        <f t="shared" si="8"/>
        <v>13471551.410000002</v>
      </c>
      <c r="S23" s="32">
        <v>0</v>
      </c>
      <c r="T23" s="18">
        <f t="shared" si="2"/>
        <v>13471551.410000002</v>
      </c>
      <c r="U23" s="18">
        <f t="shared" si="9"/>
        <v>0</v>
      </c>
      <c r="V23" s="18">
        <f t="shared" si="10"/>
        <v>13471551.410000002</v>
      </c>
      <c r="W23" s="39">
        <f t="shared" si="11"/>
        <v>20</v>
      </c>
      <c r="X23" s="19">
        <f t="shared" si="12"/>
        <v>0.05</v>
      </c>
      <c r="Y23" s="18">
        <f t="shared" si="14"/>
        <v>673577.57050000015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+'2024 RCL'!G24</f>
        <v>502793594.23000002</v>
      </c>
      <c r="E24" s="15">
        <v>0</v>
      </c>
      <c r="F24" s="15">
        <v>0</v>
      </c>
      <c r="G24" s="16">
        <f t="shared" si="4"/>
        <v>502793594.23000002</v>
      </c>
      <c r="H24" s="38">
        <f>'2025 Combined'!H24</f>
        <v>60</v>
      </c>
      <c r="I24" s="32">
        <f>+'2024 RCL'!L24</f>
        <v>10615640.359999999</v>
      </c>
      <c r="J24" s="30">
        <f t="shared" si="5"/>
        <v>8379893.2371666664</v>
      </c>
      <c r="K24" s="32"/>
      <c r="L24" s="16">
        <f t="shared" si="6"/>
        <v>18995533.597166665</v>
      </c>
      <c r="M24" s="18">
        <f t="shared" ref="M24:M45" si="15">G24-L24</f>
        <v>483798060.63283336</v>
      </c>
      <c r="O24" s="42">
        <v>47</v>
      </c>
      <c r="P24" s="42">
        <v>1720</v>
      </c>
      <c r="Q24" s="14" t="s">
        <v>16</v>
      </c>
      <c r="R24" s="18">
        <f t="shared" si="8"/>
        <v>502793594.23000002</v>
      </c>
      <c r="S24" s="32">
        <v>0</v>
      </c>
      <c r="T24" s="18">
        <f t="shared" si="2"/>
        <v>502793594.23000002</v>
      </c>
      <c r="U24" s="18">
        <f t="shared" si="9"/>
        <v>0</v>
      </c>
      <c r="V24" s="18">
        <f t="shared" si="10"/>
        <v>502793594.23000002</v>
      </c>
      <c r="W24" s="39">
        <f t="shared" si="11"/>
        <v>60</v>
      </c>
      <c r="X24" s="19">
        <f t="shared" si="12"/>
        <v>1.6666666666666666E-2</v>
      </c>
      <c r="Y24" s="18">
        <f t="shared" si="14"/>
        <v>8379893.2371666664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+'2024 RCL'!G25</f>
        <v>56910262.449999988</v>
      </c>
      <c r="E25" s="15">
        <v>800000</v>
      </c>
      <c r="F25" s="15">
        <v>0</v>
      </c>
      <c r="G25" s="16">
        <f t="shared" si="4"/>
        <v>57710262.449999988</v>
      </c>
      <c r="H25" s="38">
        <f>'2025 Combined'!H25</f>
        <v>45</v>
      </c>
      <c r="I25" s="32">
        <f>+'2024 RCL'!L25</f>
        <v>3955892.1099999994</v>
      </c>
      <c r="J25" s="30">
        <f t="shared" si="5"/>
        <v>1273561.3877777776</v>
      </c>
      <c r="K25" s="32"/>
      <c r="L25" s="16">
        <f t="shared" si="6"/>
        <v>5229453.4977777768</v>
      </c>
      <c r="M25" s="18">
        <f t="shared" si="15"/>
        <v>52480808.952222213</v>
      </c>
      <c r="O25" s="42">
        <v>47</v>
      </c>
      <c r="P25" s="42">
        <v>1725</v>
      </c>
      <c r="Q25" s="14" t="s">
        <v>17</v>
      </c>
      <c r="R25" s="18">
        <f t="shared" si="8"/>
        <v>56910262.449999988</v>
      </c>
      <c r="S25" s="32">
        <v>0</v>
      </c>
      <c r="T25" s="18">
        <f t="shared" si="2"/>
        <v>56910262.449999988</v>
      </c>
      <c r="U25" s="18">
        <f t="shared" si="9"/>
        <v>800000</v>
      </c>
      <c r="V25" s="18">
        <f>T25+U25/2</f>
        <v>57310262.449999988</v>
      </c>
      <c r="W25" s="39">
        <f t="shared" si="11"/>
        <v>45</v>
      </c>
      <c r="X25" s="19">
        <f t="shared" si="12"/>
        <v>2.2222222222222223E-2</v>
      </c>
      <c r="Y25" s="18">
        <f t="shared" si="14"/>
        <v>1273561.3877777776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+'2024 RCL'!G26</f>
        <v>556979722.25999999</v>
      </c>
      <c r="E26" s="15">
        <v>500000</v>
      </c>
      <c r="F26" s="15">
        <v>0</v>
      </c>
      <c r="G26" s="16">
        <f t="shared" si="4"/>
        <v>557479722.25999999</v>
      </c>
      <c r="H26" s="38">
        <f>'2025 Combined'!H26</f>
        <v>45</v>
      </c>
      <c r="I26" s="32">
        <f>+'2024 RCL'!L26</f>
        <v>18878523.269999992</v>
      </c>
      <c r="J26" s="30">
        <f t="shared" si="5"/>
        <v>12382882.71688889</v>
      </c>
      <c r="K26" s="32"/>
      <c r="L26" s="16">
        <f t="shared" si="6"/>
        <v>31261405.986888882</v>
      </c>
      <c r="M26" s="18">
        <f t="shared" si="15"/>
        <v>526218316.2731111</v>
      </c>
      <c r="O26" s="42">
        <v>47</v>
      </c>
      <c r="P26" s="42">
        <v>1730</v>
      </c>
      <c r="Q26" s="14" t="s">
        <v>18</v>
      </c>
      <c r="R26" s="18">
        <f t="shared" si="8"/>
        <v>556979722.25999999</v>
      </c>
      <c r="S26" s="32">
        <v>0</v>
      </c>
      <c r="T26" s="18">
        <f t="shared" si="2"/>
        <v>556979722.25999999</v>
      </c>
      <c r="U26" s="18">
        <f t="shared" si="9"/>
        <v>500000</v>
      </c>
      <c r="V26" s="18">
        <f t="shared" ref="V26:V29" si="16">T26+U26/2</f>
        <v>557229722.25999999</v>
      </c>
      <c r="W26" s="39">
        <f t="shared" si="11"/>
        <v>45</v>
      </c>
      <c r="X26" s="19">
        <f t="shared" si="12"/>
        <v>2.2222222222222223E-2</v>
      </c>
      <c r="Y26" s="18">
        <f t="shared" si="14"/>
        <v>12382882.71688889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+'2023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+'2023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si="16"/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6" x14ac:dyDescent="0.2">
      <c r="A28" s="42"/>
      <c r="B28" s="42">
        <v>1740</v>
      </c>
      <c r="C28" s="14" t="s">
        <v>20</v>
      </c>
      <c r="D28" s="15">
        <f>+'2023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+'2023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6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6" x14ac:dyDescent="0.2">
      <c r="A29" s="42"/>
      <c r="B29" s="42">
        <v>1745</v>
      </c>
      <c r="C29" s="14" t="s">
        <v>27</v>
      </c>
      <c r="D29" s="15">
        <f>+'2023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+'2023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6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7">SUM(D31:F31)</f>
        <v>0</v>
      </c>
      <c r="H31" s="38"/>
      <c r="I31" s="32"/>
      <c r="J31" s="30">
        <f t="shared" ref="J31:J45" si="18">Y31</f>
        <v>0</v>
      </c>
      <c r="K31" s="32"/>
      <c r="L31" s="16">
        <f t="shared" ref="L31:L45" si="19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ref="R31:R45" si="20">D31</f>
        <v>0</v>
      </c>
      <c r="S31" s="32">
        <v>0</v>
      </c>
      <c r="T31" s="18">
        <f t="shared" si="2"/>
        <v>0</v>
      </c>
      <c r="U31" s="18">
        <f t="shared" ref="U31:U45" si="21">E31</f>
        <v>0</v>
      </c>
      <c r="V31" s="18">
        <f t="shared" ref="V31:V45" si="22">T31+U31/2</f>
        <v>0</v>
      </c>
      <c r="W31" s="39">
        <f t="shared" ref="W31:W45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7"/>
        <v>0</v>
      </c>
      <c r="H32" s="38"/>
      <c r="I32" s="32"/>
      <c r="J32" s="30">
        <f t="shared" si="18"/>
        <v>0</v>
      </c>
      <c r="K32" s="32"/>
      <c r="L32" s="16">
        <f t="shared" si="19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20"/>
        <v>0</v>
      </c>
      <c r="S32" s="32">
        <v>0</v>
      </c>
      <c r="T32" s="18">
        <f t="shared" si="2"/>
        <v>0</v>
      </c>
      <c r="U32" s="18">
        <f t="shared" si="21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7"/>
        <v>0</v>
      </c>
      <c r="H33" s="38"/>
      <c r="I33" s="32"/>
      <c r="J33" s="30">
        <f t="shared" si="18"/>
        <v>0</v>
      </c>
      <c r="K33" s="32"/>
      <c r="L33" s="16">
        <f t="shared" si="19"/>
        <v>0</v>
      </c>
      <c r="M33" s="18">
        <f t="shared" si="15"/>
        <v>0</v>
      </c>
      <c r="O33" s="42">
        <v>8</v>
      </c>
      <c r="P33" s="42">
        <v>1915</v>
      </c>
      <c r="Q33" s="14" t="s">
        <v>32</v>
      </c>
      <c r="R33" s="18">
        <f t="shared" si="20"/>
        <v>0</v>
      </c>
      <c r="S33" s="32">
        <v>0</v>
      </c>
      <c r="T33" s="18">
        <f t="shared" si="2"/>
        <v>0</v>
      </c>
      <c r="U33" s="18">
        <f t="shared" si="21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7"/>
        <v>0</v>
      </c>
      <c r="H34" s="38"/>
      <c r="I34" s="32"/>
      <c r="J34" s="30">
        <f t="shared" si="18"/>
        <v>0</v>
      </c>
      <c r="K34" s="32"/>
      <c r="L34" s="16">
        <f t="shared" si="19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20"/>
        <v>0</v>
      </c>
      <c r="S34" s="32">
        <v>0</v>
      </c>
      <c r="T34" s="18">
        <f t="shared" si="2"/>
        <v>0</v>
      </c>
      <c r="U34" s="18">
        <f t="shared" si="21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7"/>
        <v>0</v>
      </c>
      <c r="H35" s="38"/>
      <c r="I35" s="32"/>
      <c r="J35" s="30">
        <f t="shared" si="18"/>
        <v>0</v>
      </c>
      <c r="K35" s="32"/>
      <c r="L35" s="16">
        <f t="shared" si="19"/>
        <v>0</v>
      </c>
      <c r="M35" s="18">
        <f t="shared" si="15"/>
        <v>0</v>
      </c>
      <c r="O35" s="42">
        <v>10.1</v>
      </c>
      <c r="P35" s="42">
        <v>1930</v>
      </c>
      <c r="Q35" s="14" t="s">
        <v>34</v>
      </c>
      <c r="R35" s="18">
        <f t="shared" si="20"/>
        <v>0</v>
      </c>
      <c r="S35" s="32">
        <v>0</v>
      </c>
      <c r="T35" s="18">
        <f t="shared" si="2"/>
        <v>0</v>
      </c>
      <c r="U35" s="18">
        <f t="shared" si="21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7"/>
        <v>0</v>
      </c>
      <c r="H36" s="38"/>
      <c r="I36" s="32"/>
      <c r="J36" s="30">
        <f t="shared" si="18"/>
        <v>0</v>
      </c>
      <c r="K36" s="32"/>
      <c r="L36" s="16">
        <f t="shared" si="19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20"/>
        <v>0</v>
      </c>
      <c r="S36" s="32">
        <v>0</v>
      </c>
      <c r="T36" s="18">
        <f t="shared" si="2"/>
        <v>0</v>
      </c>
      <c r="U36" s="18">
        <f t="shared" si="21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7"/>
        <v>0</v>
      </c>
      <c r="H37" s="38"/>
      <c r="I37" s="32"/>
      <c r="J37" s="30">
        <f t="shared" si="18"/>
        <v>0</v>
      </c>
      <c r="K37" s="32"/>
      <c r="L37" s="16">
        <f t="shared" si="19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20"/>
        <v>0</v>
      </c>
      <c r="S37" s="32">
        <v>0</v>
      </c>
      <c r="T37" s="18">
        <f t="shared" si="2"/>
        <v>0</v>
      </c>
      <c r="U37" s="18">
        <f t="shared" si="21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7"/>
        <v>0</v>
      </c>
      <c r="H38" s="38"/>
      <c r="I38" s="32"/>
      <c r="J38" s="30">
        <f t="shared" si="18"/>
        <v>0</v>
      </c>
      <c r="K38" s="32"/>
      <c r="L38" s="16">
        <f t="shared" si="19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20"/>
        <v>0</v>
      </c>
      <c r="S38" s="32">
        <v>0</v>
      </c>
      <c r="T38" s="18">
        <f t="shared" si="2"/>
        <v>0</v>
      </c>
      <c r="U38" s="18">
        <f t="shared" si="21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7"/>
        <v>0</v>
      </c>
      <c r="H39" s="38"/>
      <c r="I39" s="32"/>
      <c r="J39" s="30">
        <f t="shared" si="18"/>
        <v>0</v>
      </c>
      <c r="K39" s="32"/>
      <c r="L39" s="16">
        <f t="shared" si="19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20"/>
        <v>0</v>
      </c>
      <c r="S39" s="32">
        <v>0</v>
      </c>
      <c r="T39" s="18">
        <f t="shared" si="2"/>
        <v>0</v>
      </c>
      <c r="U39" s="18">
        <f t="shared" si="21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7"/>
        <v>0</v>
      </c>
      <c r="H40" s="38"/>
      <c r="I40" s="32"/>
      <c r="J40" s="30">
        <f t="shared" si="18"/>
        <v>0</v>
      </c>
      <c r="K40" s="32"/>
      <c r="L40" s="16">
        <f t="shared" si="19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20"/>
        <v>0</v>
      </c>
      <c r="S40" s="32">
        <v>0</v>
      </c>
      <c r="T40" s="18">
        <f t="shared" si="2"/>
        <v>0</v>
      </c>
      <c r="U40" s="18">
        <f t="shared" si="21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7"/>
        <v>0</v>
      </c>
      <c r="H41" s="38"/>
      <c r="I41" s="32"/>
      <c r="J41" s="30">
        <f t="shared" si="18"/>
        <v>0</v>
      </c>
      <c r="K41" s="32"/>
      <c r="L41" s="16">
        <f t="shared" si="19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20"/>
        <v>0</v>
      </c>
      <c r="S41" s="32">
        <v>0</v>
      </c>
      <c r="T41" s="18">
        <f t="shared" si="2"/>
        <v>0</v>
      </c>
      <c r="U41" s="18">
        <f t="shared" si="21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7"/>
        <v>0</v>
      </c>
      <c r="H42" s="38"/>
      <c r="I42" s="32"/>
      <c r="J42" s="30">
        <f t="shared" si="18"/>
        <v>0</v>
      </c>
      <c r="K42" s="32"/>
      <c r="L42" s="16">
        <f t="shared" si="19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20"/>
        <v>0</v>
      </c>
      <c r="S42" s="32">
        <v>0</v>
      </c>
      <c r="T42" s="18">
        <f t="shared" si="2"/>
        <v>0</v>
      </c>
      <c r="U42" s="18">
        <f t="shared" si="21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7"/>
        <v>0</v>
      </c>
      <c r="H43" s="38"/>
      <c r="I43" s="32"/>
      <c r="J43" s="30">
        <f t="shared" si="18"/>
        <v>0</v>
      </c>
      <c r="K43" s="32"/>
      <c r="L43" s="16">
        <f t="shared" si="19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20"/>
        <v>0</v>
      </c>
      <c r="S43" s="32">
        <v>0</v>
      </c>
      <c r="T43" s="18">
        <f t="shared" si="2"/>
        <v>0</v>
      </c>
      <c r="U43" s="18">
        <f t="shared" si="21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7"/>
        <v>0</v>
      </c>
      <c r="H44" s="38"/>
      <c r="I44" s="32"/>
      <c r="J44" s="30">
        <f t="shared" si="18"/>
        <v>0</v>
      </c>
      <c r="K44" s="32"/>
      <c r="L44" s="16">
        <f t="shared" si="19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20"/>
        <v>0</v>
      </c>
      <c r="S44" s="32">
        <v>0</v>
      </c>
      <c r="T44" s="18">
        <f t="shared" si="2"/>
        <v>0</v>
      </c>
      <c r="U44" s="18">
        <f t="shared" si="21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7"/>
        <v>0</v>
      </c>
      <c r="H45" s="38"/>
      <c r="I45" s="32"/>
      <c r="J45" s="30">
        <f t="shared" si="18"/>
        <v>0</v>
      </c>
      <c r="K45" s="32"/>
      <c r="L45" s="16">
        <f t="shared" si="19"/>
        <v>0</v>
      </c>
      <c r="M45" s="18">
        <f t="shared" si="15"/>
        <v>0</v>
      </c>
      <c r="N45" s="21"/>
      <c r="O45" s="42"/>
      <c r="P45" s="42"/>
      <c r="Q45" s="14"/>
      <c r="R45" s="18">
        <f t="shared" si="20"/>
        <v>0</v>
      </c>
      <c r="S45" s="32">
        <v>0</v>
      </c>
      <c r="T45" s="18">
        <f t="shared" si="2"/>
        <v>0</v>
      </c>
      <c r="U45" s="18">
        <f t="shared" si="21"/>
        <v>0</v>
      </c>
      <c r="V45" s="18">
        <f t="shared" si="22"/>
        <v>0</v>
      </c>
      <c r="W45" s="39">
        <f t="shared" si="23"/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1484907342.0299997</v>
      </c>
      <c r="E46" s="22">
        <f>SUM(E12:E15,E17:E29,E31:E45)</f>
        <v>1300000</v>
      </c>
      <c r="F46" s="22">
        <f>SUM(F12:F15,F17:F29,F31:F45)</f>
        <v>0</v>
      </c>
      <c r="G46" s="22">
        <f>SUM(G12:G15,G17:G29,G31:G45)</f>
        <v>1486207342.0299997</v>
      </c>
      <c r="H46" s="33"/>
      <c r="I46" s="22">
        <f>SUM(I12:I15,I17:I29,I31:I45)</f>
        <v>44487333.299999997</v>
      </c>
      <c r="J46" s="22">
        <f>SUM(J12:J15,J17:J29,J31:J45)</f>
        <v>29943569.549283329</v>
      </c>
      <c r="K46" s="22">
        <f>SUM(K12:K15,K17:K29,K31:K45)</f>
        <v>0</v>
      </c>
      <c r="L46" s="22">
        <f>SUM(L12:L15,L17:L29,L31:L45)</f>
        <v>74430902.849283323</v>
      </c>
      <c r="M46" s="22">
        <f>SUM(M12:M15,M17:M29,M31:M45)</f>
        <v>1411776439.1807165</v>
      </c>
      <c r="N46" s="23"/>
      <c r="O46" s="44"/>
      <c r="P46" s="44"/>
      <c r="Q46" s="20" t="s">
        <v>77</v>
      </c>
      <c r="R46" s="22">
        <f>SUM(R12:R15,R17:R29,R31:R45)</f>
        <v>1484907342.0299997</v>
      </c>
      <c r="S46" s="22">
        <f>SUM(S12:S15,S17:S29,S31:S45)</f>
        <v>0</v>
      </c>
      <c r="T46" s="22">
        <f>SUM(T12:T15,T17:T29,T31:T45)</f>
        <v>1484907342.0299997</v>
      </c>
      <c r="U46" s="22">
        <f>SUM(U12:U15,U17:U29,U31:U45)</f>
        <v>1300000</v>
      </c>
      <c r="V46" s="22">
        <f>SUM(V12:V15,V17:V29,V31:V45)</f>
        <v>1485557342.0299997</v>
      </c>
      <c r="W46" s="24"/>
      <c r="X46" s="24"/>
      <c r="Y46" s="22">
        <f>SUM(Y12:Y15,Y17:Y29,Y31:Y44)</f>
        <v>29943569.549283329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1484907342.0299997</v>
      </c>
      <c r="E49" s="16">
        <f>SUM(E46:E48)</f>
        <v>1300000</v>
      </c>
      <c r="F49" s="16">
        <f>SUM(F46:F48)</f>
        <v>0</v>
      </c>
      <c r="G49" s="16">
        <f>SUM(G46:G48)</f>
        <v>1486207342.0299997</v>
      </c>
      <c r="H49" s="33"/>
      <c r="I49" s="16">
        <f>SUM(I46:I48)</f>
        <v>44487333.299999997</v>
      </c>
      <c r="J49" s="16">
        <f>SUM(J46:J48)</f>
        <v>29943569.549283329</v>
      </c>
      <c r="K49" s="16">
        <f>SUM(K46:K48)</f>
        <v>0</v>
      </c>
      <c r="L49" s="16">
        <f>SUM(L46:L48)</f>
        <v>74430902.849283323</v>
      </c>
      <c r="M49" s="16">
        <f>SUM(M46:M48)</f>
        <v>1411776439.1807165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29943569.549283329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29943569.549283329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&amp;REB-2025-0192</oddHeader>
    <oddFooter>&amp;L&amp;"Times New Roman,Regular"&amp;8 53141182.2</oddFooter>
  </headerFooter>
  <colBreaks count="1" manualBreakCount="1">
    <brk id="9" max="5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E06C-719A-4902-91B2-FF60415DCAFC}">
  <sheetPr>
    <pageSetUpPr fitToPage="1"/>
  </sheetPr>
  <dimension ref="A2:AA63"/>
  <sheetViews>
    <sheetView showGridLines="0" view="pageBreakPreview" zoomScaleNormal="100" zoomScaleSheetLayoutView="100" workbookViewId="0">
      <pane xSplit="3" ySplit="10" topLeftCell="D18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6.8554687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4.85546875" style="1" customWidth="1"/>
    <col min="19" max="19" width="9.5703125" style="1" bestFit="1" customWidth="1"/>
    <col min="20" max="20" width="12.7109375" style="1" customWidth="1"/>
    <col min="21" max="21" width="12.5703125" style="1" customWidth="1"/>
    <col min="22" max="22" width="13.2851562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3" t="s">
        <v>84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2026</v>
      </c>
      <c r="S5" s="48" t="s">
        <v>74</v>
      </c>
      <c r="T5" s="41">
        <f>F5</f>
        <v>2026</v>
      </c>
    </row>
    <row r="7" spans="1:25" ht="2.25" customHeight="1" x14ac:dyDescent="0.2">
      <c r="D7" s="85"/>
      <c r="E7" s="85"/>
      <c r="F7" s="85"/>
      <c r="G7" s="85"/>
      <c r="H7" s="85"/>
    </row>
    <row r="8" spans="1:25" ht="2.25" customHeight="1" x14ac:dyDescent="0.2"/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+'2025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+'2025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43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+'2025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+'2025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46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+'2025 Combined'!G14</f>
        <v>0</v>
      </c>
      <c r="E14" s="15">
        <v>86600</v>
      </c>
      <c r="F14" s="15">
        <v>0</v>
      </c>
      <c r="G14" s="16">
        <f>SUM(D14:F14)</f>
        <v>86600</v>
      </c>
      <c r="H14" s="15">
        <v>5</v>
      </c>
      <c r="I14" s="15">
        <f>+'2025 Combined'!L14</f>
        <v>0</v>
      </c>
      <c r="J14" s="30">
        <f t="shared" si="2"/>
        <v>8660</v>
      </c>
      <c r="K14" s="15"/>
      <c r="L14" s="16">
        <f>SUM(I14:K14)</f>
        <v>8660</v>
      </c>
      <c r="M14" s="18">
        <f t="shared" si="0"/>
        <v>77940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86600</v>
      </c>
      <c r="V14" s="18">
        <f t="shared" si="6"/>
        <v>43300</v>
      </c>
      <c r="W14" s="39">
        <f t="shared" si="7"/>
        <v>5</v>
      </c>
      <c r="X14" s="19">
        <f t="shared" si="8"/>
        <v>0.2</v>
      </c>
      <c r="Y14" s="18">
        <f t="shared" si="1"/>
        <v>8660</v>
      </c>
    </row>
    <row r="15" spans="1:25" x14ac:dyDescent="0.2">
      <c r="A15" s="42"/>
      <c r="B15" s="42">
        <v>1612</v>
      </c>
      <c r="C15" s="14" t="s">
        <v>28</v>
      </c>
      <c r="D15" s="15">
        <f>+'2025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+'2025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7" x14ac:dyDescent="0.2">
      <c r="A17" s="42"/>
      <c r="B17" s="42">
        <v>1705</v>
      </c>
      <c r="C17" s="14" t="s">
        <v>29</v>
      </c>
      <c r="D17" s="15">
        <f>+'2025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+'2025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 t="shared" si="6"/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 t="shared" si="1"/>
        <v>0</v>
      </c>
    </row>
    <row r="18" spans="1:27" x14ac:dyDescent="0.2">
      <c r="A18" s="42"/>
      <c r="B18" s="42">
        <v>1706</v>
      </c>
      <c r="C18" s="14" t="s">
        <v>25</v>
      </c>
      <c r="D18" s="15">
        <f>+'2025 Combined'!G18</f>
        <v>54795.57</v>
      </c>
      <c r="E18" s="15">
        <v>0</v>
      </c>
      <c r="F18" s="15">
        <v>0</v>
      </c>
      <c r="G18" s="16">
        <f t="shared" si="9"/>
        <v>54795.57</v>
      </c>
      <c r="H18" s="15">
        <v>40</v>
      </c>
      <c r="I18" s="15">
        <f>+'2025 Combined'!L18</f>
        <v>9589.2292500000003</v>
      </c>
      <c r="J18" s="30">
        <f t="shared" si="10"/>
        <v>1369.8892500000002</v>
      </c>
      <c r="K18" s="15"/>
      <c r="L18" s="16">
        <f t="shared" si="11"/>
        <v>10959.1185</v>
      </c>
      <c r="M18" s="18">
        <f t="shared" si="12"/>
        <v>43836.451499999996</v>
      </c>
      <c r="O18" s="42"/>
      <c r="P18" s="42">
        <v>1706</v>
      </c>
      <c r="Q18" s="14" t="s">
        <v>25</v>
      </c>
      <c r="R18" s="18">
        <f t="shared" si="3"/>
        <v>54795.57</v>
      </c>
      <c r="S18" s="32">
        <v>0</v>
      </c>
      <c r="T18" s="18">
        <f t="shared" si="4"/>
        <v>54795.57</v>
      </c>
      <c r="U18" s="18">
        <f t="shared" si="5"/>
        <v>0</v>
      </c>
      <c r="V18" s="18">
        <f t="shared" si="6"/>
        <v>54795.57</v>
      </c>
      <c r="W18" s="39">
        <f t="shared" si="13"/>
        <v>40</v>
      </c>
      <c r="X18" s="19">
        <f t="shared" si="14"/>
        <v>2.5000000000000001E-2</v>
      </c>
      <c r="Y18" s="18">
        <f t="shared" si="1"/>
        <v>1369.8892500000002</v>
      </c>
      <c r="AA18" s="6"/>
    </row>
    <row r="19" spans="1:27" x14ac:dyDescent="0.2">
      <c r="A19" s="42"/>
      <c r="B19" s="42">
        <v>1708</v>
      </c>
      <c r="C19" s="14" t="s">
        <v>31</v>
      </c>
      <c r="D19" s="15">
        <f>+'2025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+'2025 Combined'!L19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 t="shared" si="6"/>
        <v>0</v>
      </c>
      <c r="W19" s="39">
        <f t="shared" si="13"/>
        <v>0</v>
      </c>
      <c r="X19" s="19" t="str">
        <f t="shared" si="14"/>
        <v>-</v>
      </c>
      <c r="Y19" s="18">
        <f t="shared" si="1"/>
        <v>0</v>
      </c>
      <c r="AA19" s="6"/>
    </row>
    <row r="20" spans="1:27" x14ac:dyDescent="0.2">
      <c r="A20" s="42"/>
      <c r="B20" s="42">
        <v>1710</v>
      </c>
      <c r="C20" s="14" t="s">
        <v>26</v>
      </c>
      <c r="D20" s="15">
        <f>+'2025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+'2025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 t="shared" si="6"/>
        <v>0</v>
      </c>
      <c r="W20" s="39">
        <f t="shared" si="13"/>
        <v>0</v>
      </c>
      <c r="X20" s="19" t="str">
        <f t="shared" si="14"/>
        <v>-</v>
      </c>
      <c r="Y20" s="18">
        <f t="shared" si="1"/>
        <v>0</v>
      </c>
      <c r="AA20" s="6"/>
    </row>
    <row r="21" spans="1:27" x14ac:dyDescent="0.2">
      <c r="A21" s="42">
        <v>47</v>
      </c>
      <c r="B21" s="42">
        <v>1715</v>
      </c>
      <c r="C21" s="14" t="s">
        <v>14</v>
      </c>
      <c r="D21" s="15">
        <f>+'2025 Combined'!G21</f>
        <v>372736932.50999969</v>
      </c>
      <c r="E21" s="15">
        <v>0</v>
      </c>
      <c r="F21" s="15">
        <v>0</v>
      </c>
      <c r="G21" s="16">
        <f t="shared" si="9"/>
        <v>372736932.50999969</v>
      </c>
      <c r="H21" s="15">
        <v>50</v>
      </c>
      <c r="I21" s="15">
        <f>+'2025 Combined'!L21</f>
        <v>18616089.990199994</v>
      </c>
      <c r="J21" s="30">
        <f t="shared" si="10"/>
        <v>7454738.6501999944</v>
      </c>
      <c r="K21" s="15"/>
      <c r="L21" s="16">
        <f t="shared" si="11"/>
        <v>26070828.640399989</v>
      </c>
      <c r="M21" s="18">
        <f t="shared" si="12"/>
        <v>346666103.8695997</v>
      </c>
      <c r="O21" s="42">
        <v>47</v>
      </c>
      <c r="P21" s="42">
        <v>1715</v>
      </c>
      <c r="Q21" s="14" t="s">
        <v>14</v>
      </c>
      <c r="R21" s="18">
        <f t="shared" si="3"/>
        <v>372736932.50999969</v>
      </c>
      <c r="S21" s="32">
        <v>0</v>
      </c>
      <c r="T21" s="18">
        <f t="shared" si="4"/>
        <v>372736932.50999969</v>
      </c>
      <c r="U21" s="18">
        <f t="shared" si="5"/>
        <v>0</v>
      </c>
      <c r="V21" s="18">
        <f t="shared" si="6"/>
        <v>372736932.50999969</v>
      </c>
      <c r="W21" s="39">
        <f t="shared" si="13"/>
        <v>50</v>
      </c>
      <c r="X21" s="19">
        <f t="shared" si="14"/>
        <v>0.02</v>
      </c>
      <c r="Y21" s="18">
        <f>IF(V21=0,0,V21*X21)</f>
        <v>7454738.6501999944</v>
      </c>
      <c r="AA21" s="6"/>
    </row>
    <row r="22" spans="1:27" x14ac:dyDescent="0.2">
      <c r="A22" s="42">
        <v>47</v>
      </c>
      <c r="B22" s="42" t="s">
        <v>10</v>
      </c>
      <c r="C22" s="14" t="s">
        <v>21</v>
      </c>
      <c r="D22" s="15">
        <f>+'2025 Combined'!G22</f>
        <v>33878706.239999995</v>
      </c>
      <c r="E22" s="15">
        <v>0</v>
      </c>
      <c r="F22" s="15">
        <v>0</v>
      </c>
      <c r="G22" s="16">
        <f t="shared" si="9"/>
        <v>33878706.239999995</v>
      </c>
      <c r="H22" s="15">
        <v>40</v>
      </c>
      <c r="I22" s="15">
        <f>+'2025 Combined'!L22</f>
        <v>2108696.426</v>
      </c>
      <c r="J22" s="30">
        <f t="shared" si="10"/>
        <v>846967.65599999996</v>
      </c>
      <c r="K22" s="15"/>
      <c r="L22" s="16">
        <f t="shared" si="11"/>
        <v>2955664.0819999999</v>
      </c>
      <c r="M22" s="18">
        <f t="shared" si="12"/>
        <v>30923042.157999996</v>
      </c>
      <c r="O22" s="42">
        <v>47</v>
      </c>
      <c r="P22" s="42" t="s">
        <v>10</v>
      </c>
      <c r="Q22" s="14" t="s">
        <v>21</v>
      </c>
      <c r="R22" s="18">
        <f t="shared" si="3"/>
        <v>33878706.239999995</v>
      </c>
      <c r="S22" s="32">
        <v>0</v>
      </c>
      <c r="T22" s="18">
        <f t="shared" si="4"/>
        <v>33878706.239999995</v>
      </c>
      <c r="U22" s="18">
        <f t="shared" si="5"/>
        <v>0</v>
      </c>
      <c r="V22" s="18">
        <f t="shared" si="6"/>
        <v>33878706.239999995</v>
      </c>
      <c r="W22" s="39">
        <f t="shared" si="13"/>
        <v>40</v>
      </c>
      <c r="X22" s="19">
        <f t="shared" si="14"/>
        <v>2.5000000000000001E-2</v>
      </c>
      <c r="Y22" s="18">
        <f t="shared" si="1"/>
        <v>846967.65599999996</v>
      </c>
      <c r="AA22" s="6"/>
    </row>
    <row r="23" spans="1:27" x14ac:dyDescent="0.2">
      <c r="A23" s="42">
        <v>47</v>
      </c>
      <c r="B23" s="42" t="s">
        <v>11</v>
      </c>
      <c r="C23" s="14" t="s">
        <v>22</v>
      </c>
      <c r="D23" s="15">
        <f>+'2025 Combined'!G23</f>
        <v>14963021.110000003</v>
      </c>
      <c r="E23" s="15">
        <v>0</v>
      </c>
      <c r="F23" s="15">
        <v>0</v>
      </c>
      <c r="G23" s="16">
        <f t="shared" si="9"/>
        <v>14963021.110000003</v>
      </c>
      <c r="H23" s="15">
        <v>20</v>
      </c>
      <c r="I23" s="15">
        <f>+'2025 Combined'!L23</f>
        <v>1750921.3355000003</v>
      </c>
      <c r="J23" s="30">
        <f t="shared" si="10"/>
        <v>748151.05550000025</v>
      </c>
      <c r="K23" s="15"/>
      <c r="L23" s="16">
        <f t="shared" si="11"/>
        <v>2499072.3910000008</v>
      </c>
      <c r="M23" s="18">
        <f>G23-L23</f>
        <v>12463948.719000002</v>
      </c>
      <c r="O23" s="42">
        <v>47</v>
      </c>
      <c r="P23" s="42" t="s">
        <v>11</v>
      </c>
      <c r="Q23" s="14" t="s">
        <v>22</v>
      </c>
      <c r="R23" s="18">
        <f t="shared" si="3"/>
        <v>14963021.110000003</v>
      </c>
      <c r="S23" s="32">
        <v>0</v>
      </c>
      <c r="T23" s="18">
        <f t="shared" si="4"/>
        <v>14963021.110000003</v>
      </c>
      <c r="U23" s="18">
        <f t="shared" si="5"/>
        <v>0</v>
      </c>
      <c r="V23" s="18">
        <f t="shared" si="6"/>
        <v>14963021.110000003</v>
      </c>
      <c r="W23" s="39">
        <f t="shared" si="13"/>
        <v>20</v>
      </c>
      <c r="X23" s="19">
        <f t="shared" si="14"/>
        <v>0.05</v>
      </c>
      <c r="Y23" s="18">
        <f t="shared" si="1"/>
        <v>748151.05550000025</v>
      </c>
      <c r="AA23" s="6"/>
    </row>
    <row r="24" spans="1:27" x14ac:dyDescent="0.2">
      <c r="A24" s="42">
        <v>47</v>
      </c>
      <c r="B24" s="42">
        <v>1720</v>
      </c>
      <c r="C24" s="14" t="s">
        <v>16</v>
      </c>
      <c r="D24" s="15">
        <f>+'2025 Combined'!G24</f>
        <v>617215376.75999999</v>
      </c>
      <c r="E24" s="15">
        <v>0</v>
      </c>
      <c r="F24" s="15">
        <v>0</v>
      </c>
      <c r="G24" s="16">
        <f t="shared" si="9"/>
        <v>617215376.75999999</v>
      </c>
      <c r="H24" s="15">
        <v>60</v>
      </c>
      <c r="I24" s="15">
        <f>+'2025 Combined'!L24</f>
        <v>25309710.685999997</v>
      </c>
      <c r="J24" s="30">
        <f t="shared" si="10"/>
        <v>10286922.946</v>
      </c>
      <c r="K24" s="15"/>
      <c r="L24" s="16">
        <f t="shared" si="11"/>
        <v>35596633.631999999</v>
      </c>
      <c r="M24" s="18">
        <f t="shared" ref="M24:M46" si="15">G24-L24</f>
        <v>581618743.12800002</v>
      </c>
      <c r="O24" s="42">
        <v>47</v>
      </c>
      <c r="P24" s="42">
        <v>1720</v>
      </c>
      <c r="Q24" s="14" t="s">
        <v>16</v>
      </c>
      <c r="R24" s="18">
        <f t="shared" si="3"/>
        <v>617215376.75999999</v>
      </c>
      <c r="S24" s="32">
        <v>0</v>
      </c>
      <c r="T24" s="18">
        <f t="shared" si="4"/>
        <v>617215376.75999999</v>
      </c>
      <c r="U24" s="18">
        <f t="shared" si="5"/>
        <v>0</v>
      </c>
      <c r="V24" s="18">
        <f t="shared" si="6"/>
        <v>617215376.75999999</v>
      </c>
      <c r="W24" s="39">
        <f t="shared" si="13"/>
        <v>60</v>
      </c>
      <c r="X24" s="19">
        <f t="shared" si="14"/>
        <v>1.6666666666666666E-2</v>
      </c>
      <c r="Y24" s="18">
        <f t="shared" si="1"/>
        <v>10286922.946</v>
      </c>
      <c r="AA24" s="6"/>
    </row>
    <row r="25" spans="1:27" x14ac:dyDescent="0.2">
      <c r="A25" s="42">
        <v>47</v>
      </c>
      <c r="B25" s="42">
        <v>1725</v>
      </c>
      <c r="C25" s="14" t="s">
        <v>17</v>
      </c>
      <c r="D25" s="15">
        <f>+'2025 Combined'!G25</f>
        <v>57710262.449999988</v>
      </c>
      <c r="E25" s="15">
        <v>800000</v>
      </c>
      <c r="F25" s="15">
        <v>0</v>
      </c>
      <c r="G25" s="16">
        <f t="shared" si="9"/>
        <v>58510262.449999988</v>
      </c>
      <c r="H25" s="15">
        <v>45</v>
      </c>
      <c r="I25" s="15">
        <f>+'2025 Combined'!L25</f>
        <v>5229453.4977777768</v>
      </c>
      <c r="J25" s="30">
        <f t="shared" si="10"/>
        <v>1291339.1655555554</v>
      </c>
      <c r="K25" s="15"/>
      <c r="L25" s="16">
        <f t="shared" si="11"/>
        <v>6520792.6633333322</v>
      </c>
      <c r="M25" s="18">
        <f t="shared" si="15"/>
        <v>51989469.786666654</v>
      </c>
      <c r="O25" s="42">
        <v>47</v>
      </c>
      <c r="P25" s="42">
        <v>1725</v>
      </c>
      <c r="Q25" s="14" t="s">
        <v>17</v>
      </c>
      <c r="R25" s="18">
        <f t="shared" si="3"/>
        <v>57710262.449999988</v>
      </c>
      <c r="S25" s="32">
        <v>0</v>
      </c>
      <c r="T25" s="18">
        <f t="shared" si="4"/>
        <v>57710262.449999988</v>
      </c>
      <c r="U25" s="18">
        <f t="shared" si="5"/>
        <v>800000</v>
      </c>
      <c r="V25" s="18">
        <f t="shared" si="6"/>
        <v>58110262.449999988</v>
      </c>
      <c r="W25" s="39">
        <f t="shared" si="13"/>
        <v>45</v>
      </c>
      <c r="X25" s="19">
        <f t="shared" si="14"/>
        <v>2.2222222222222223E-2</v>
      </c>
      <c r="Y25" s="18">
        <f>IF(V25=0,0,V25*X25)</f>
        <v>1291339.1655555554</v>
      </c>
      <c r="AA25" s="6"/>
    </row>
    <row r="26" spans="1:27" x14ac:dyDescent="0.2">
      <c r="A26" s="42">
        <v>47</v>
      </c>
      <c r="B26" s="42">
        <v>1730</v>
      </c>
      <c r="C26" s="14" t="s">
        <v>18</v>
      </c>
      <c r="D26" s="15">
        <f>+'2025 Combined'!G26</f>
        <v>710940555.22000003</v>
      </c>
      <c r="E26" s="15">
        <v>0</v>
      </c>
      <c r="F26" s="15">
        <v>0</v>
      </c>
      <c r="G26" s="16">
        <f t="shared" si="9"/>
        <v>710940555.22000003</v>
      </c>
      <c r="H26" s="15">
        <v>45</v>
      </c>
      <c r="I26" s="15">
        <f>+'2025 Combined'!L26</f>
        <v>42022865.439333327</v>
      </c>
      <c r="J26" s="30">
        <f t="shared" si="10"/>
        <v>15798679.00488889</v>
      </c>
      <c r="K26" s="15"/>
      <c r="L26" s="16">
        <f t="shared" si="11"/>
        <v>57821544.444222219</v>
      </c>
      <c r="M26" s="18">
        <f t="shared" si="15"/>
        <v>653119010.77577782</v>
      </c>
      <c r="O26" s="42">
        <v>47</v>
      </c>
      <c r="P26" s="42">
        <v>1730</v>
      </c>
      <c r="Q26" s="14" t="s">
        <v>18</v>
      </c>
      <c r="R26" s="18">
        <f t="shared" si="3"/>
        <v>710940555.22000003</v>
      </c>
      <c r="S26" s="32">
        <v>0</v>
      </c>
      <c r="T26" s="18">
        <f t="shared" si="4"/>
        <v>710940555.22000003</v>
      </c>
      <c r="U26" s="18">
        <f t="shared" si="5"/>
        <v>0</v>
      </c>
      <c r="V26" s="18">
        <f t="shared" si="6"/>
        <v>710940555.22000003</v>
      </c>
      <c r="W26" s="39">
        <f t="shared" si="13"/>
        <v>45</v>
      </c>
      <c r="X26" s="19">
        <f t="shared" si="14"/>
        <v>2.2222222222222223E-2</v>
      </c>
      <c r="Y26" s="18">
        <f t="shared" si="1"/>
        <v>15798679.00488889</v>
      </c>
      <c r="AA26" s="6"/>
    </row>
    <row r="27" spans="1:27" x14ac:dyDescent="0.2">
      <c r="A27" s="42"/>
      <c r="B27" s="42">
        <v>1735</v>
      </c>
      <c r="C27" s="14" t="s">
        <v>19</v>
      </c>
      <c r="D27" s="15">
        <f>+'2025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+'2025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 t="shared" si="6"/>
        <v>0</v>
      </c>
      <c r="W27" s="39">
        <f t="shared" si="13"/>
        <v>0</v>
      </c>
      <c r="X27" s="19" t="str">
        <f t="shared" si="14"/>
        <v>-</v>
      </c>
      <c r="Y27" s="18">
        <f t="shared" si="1"/>
        <v>0</v>
      </c>
      <c r="AA27" s="6"/>
    </row>
    <row r="28" spans="1:27" x14ac:dyDescent="0.2">
      <c r="A28" s="42"/>
      <c r="B28" s="42">
        <v>1740</v>
      </c>
      <c r="C28" s="14" t="s">
        <v>20</v>
      </c>
      <c r="D28" s="15">
        <f>+'2025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+'2025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 t="shared" si="6"/>
        <v>0</v>
      </c>
      <c r="W28" s="39">
        <f t="shared" si="13"/>
        <v>0</v>
      </c>
      <c r="X28" s="19" t="str">
        <f t="shared" si="14"/>
        <v>-</v>
      </c>
      <c r="Y28" s="18">
        <f t="shared" si="1"/>
        <v>0</v>
      </c>
    </row>
    <row r="29" spans="1:27" x14ac:dyDescent="0.2">
      <c r="A29" s="42"/>
      <c r="B29" s="42">
        <v>1745</v>
      </c>
      <c r="C29" s="14" t="s">
        <v>27</v>
      </c>
      <c r="D29" s="15">
        <f>+'2025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+'2025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 t="shared" si="6"/>
        <v>0</v>
      </c>
      <c r="W29" s="39">
        <f t="shared" si="13"/>
        <v>0</v>
      </c>
      <c r="X29" s="19" t="str">
        <f t="shared" si="14"/>
        <v>-</v>
      </c>
      <c r="Y29" s="18">
        <f t="shared" si="1"/>
        <v>0</v>
      </c>
    </row>
    <row r="30" spans="1:27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85</v>
      </c>
      <c r="W30" s="49" t="s">
        <v>55</v>
      </c>
      <c r="X30" s="49" t="s">
        <v>56</v>
      </c>
      <c r="Y30" s="49" t="s">
        <v>86</v>
      </c>
    </row>
    <row r="31" spans="1:27" x14ac:dyDescent="0.2">
      <c r="A31" s="42"/>
      <c r="B31" s="42">
        <v>1905</v>
      </c>
      <c r="C31" s="14" t="s">
        <v>30</v>
      </c>
      <c r="D31" s="15">
        <f>+'2025 Combined'!G31</f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+'2025 Combined'!L31</f>
        <v>0</v>
      </c>
      <c r="J31" s="30">
        <f t="shared" ref="J31:J46" si="17">Y31</f>
        <v>0</v>
      </c>
      <c r="K31" s="15"/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 t="shared" si="6"/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 t="shared" si="1"/>
        <v>0</v>
      </c>
    </row>
    <row r="32" spans="1:27" x14ac:dyDescent="0.2">
      <c r="A32" s="42">
        <v>10.1</v>
      </c>
      <c r="B32" s="42">
        <v>1908</v>
      </c>
      <c r="C32" s="14" t="s">
        <v>15</v>
      </c>
      <c r="D32" s="15">
        <f>+'2025 Combined'!G32</f>
        <v>396998.98000000004</v>
      </c>
      <c r="E32" s="15">
        <v>0</v>
      </c>
      <c r="F32" s="15">
        <v>0</v>
      </c>
      <c r="G32" s="16">
        <f t="shared" si="16"/>
        <v>396998.98000000004</v>
      </c>
      <c r="H32" s="15">
        <v>50</v>
      </c>
      <c r="I32" s="15">
        <f>+'2025 Combined'!L32</f>
        <v>7939.9796000000006</v>
      </c>
      <c r="J32" s="30">
        <f t="shared" si="17"/>
        <v>7939.9796000000006</v>
      </c>
      <c r="K32" s="15"/>
      <c r="L32" s="16">
        <f t="shared" si="18"/>
        <v>15879.959200000001</v>
      </c>
      <c r="M32" s="18">
        <f t="shared" si="15"/>
        <v>381119.02080000006</v>
      </c>
      <c r="O32" s="42">
        <v>10.1</v>
      </c>
      <c r="P32" s="42">
        <v>1908</v>
      </c>
      <c r="Q32" s="14" t="s">
        <v>15</v>
      </c>
      <c r="R32" s="18">
        <f t="shared" si="3"/>
        <v>396998.98000000004</v>
      </c>
      <c r="S32" s="32">
        <v>0</v>
      </c>
      <c r="T32" s="18">
        <f t="shared" si="4"/>
        <v>396998.98000000004</v>
      </c>
      <c r="U32" s="18">
        <f t="shared" si="5"/>
        <v>0</v>
      </c>
      <c r="V32" s="18">
        <f t="shared" si="6"/>
        <v>396998.98000000004</v>
      </c>
      <c r="W32" s="39">
        <f t="shared" si="19"/>
        <v>50</v>
      </c>
      <c r="X32" s="19">
        <f t="shared" si="20"/>
        <v>0.02</v>
      </c>
      <c r="Y32" s="18">
        <f t="shared" si="1"/>
        <v>7939.9796000000006</v>
      </c>
      <c r="Z32" s="6">
        <f>+V32-G32</f>
        <v>0</v>
      </c>
    </row>
    <row r="33" spans="1:26" x14ac:dyDescent="0.2">
      <c r="A33" s="42"/>
      <c r="B33" s="42">
        <v>1910</v>
      </c>
      <c r="C33" s="14" t="s">
        <v>26</v>
      </c>
      <c r="D33" s="15">
        <f>+'2025 Combined'!G33</f>
        <v>228961.33</v>
      </c>
      <c r="E33" s="15">
        <v>900000</v>
      </c>
      <c r="F33" s="15"/>
      <c r="G33" s="16">
        <f t="shared" si="16"/>
        <v>1128961.33</v>
      </c>
      <c r="H33" s="15">
        <v>5</v>
      </c>
      <c r="I33" s="15">
        <f>+'2025 Combined'!L33</f>
        <v>45792.266000000003</v>
      </c>
      <c r="J33" s="30">
        <f t="shared" si="17"/>
        <v>135792.266</v>
      </c>
      <c r="K33" s="15"/>
      <c r="L33" s="16">
        <f t="shared" ref="L33" si="21">SUM(I33:K33)</f>
        <v>181584.53200000001</v>
      </c>
      <c r="M33" s="18">
        <f t="shared" si="15"/>
        <v>947376.79800000007</v>
      </c>
      <c r="O33" s="42">
        <v>10.1</v>
      </c>
      <c r="P33" s="42">
        <v>1908</v>
      </c>
      <c r="Q33" s="14" t="s">
        <v>15</v>
      </c>
      <c r="R33" s="18">
        <f t="shared" si="3"/>
        <v>228961.33</v>
      </c>
      <c r="S33" s="32">
        <v>0</v>
      </c>
      <c r="T33" s="18">
        <f t="shared" si="4"/>
        <v>228961.33</v>
      </c>
      <c r="U33" s="18">
        <f t="shared" si="5"/>
        <v>900000</v>
      </c>
      <c r="V33" s="18">
        <f t="shared" si="6"/>
        <v>678961.33</v>
      </c>
      <c r="W33" s="39">
        <f t="shared" si="19"/>
        <v>5</v>
      </c>
      <c r="X33" s="19">
        <f t="shared" si="20"/>
        <v>0.2</v>
      </c>
      <c r="Y33" s="18">
        <f t="shared" si="1"/>
        <v>135792.266</v>
      </c>
      <c r="Z33" s="6"/>
    </row>
    <row r="34" spans="1:26" x14ac:dyDescent="0.2">
      <c r="A34" s="42">
        <v>8</v>
      </c>
      <c r="B34" s="42">
        <v>1915</v>
      </c>
      <c r="C34" s="14" t="s">
        <v>32</v>
      </c>
      <c r="D34" s="15">
        <f>+'2025 Combined'!G34</f>
        <v>100250</v>
      </c>
      <c r="E34" s="15">
        <v>100250</v>
      </c>
      <c r="F34" s="15">
        <v>0</v>
      </c>
      <c r="G34" s="16">
        <f t="shared" si="16"/>
        <v>200500</v>
      </c>
      <c r="H34" s="15">
        <v>10</v>
      </c>
      <c r="I34" s="15">
        <f>+'2025 Combined'!L34</f>
        <v>5012.5</v>
      </c>
      <c r="J34" s="30">
        <f t="shared" si="17"/>
        <v>15037.5</v>
      </c>
      <c r="K34" s="15"/>
      <c r="L34" s="16">
        <f t="shared" si="18"/>
        <v>20050</v>
      </c>
      <c r="M34" s="18">
        <f t="shared" si="15"/>
        <v>180450</v>
      </c>
      <c r="O34" s="42">
        <v>8</v>
      </c>
      <c r="P34" s="42">
        <v>1915</v>
      </c>
      <c r="Q34" s="14" t="s">
        <v>32</v>
      </c>
      <c r="R34" s="18">
        <f t="shared" si="3"/>
        <v>100250</v>
      </c>
      <c r="S34" s="32">
        <v>0</v>
      </c>
      <c r="T34" s="18">
        <f t="shared" si="4"/>
        <v>100250</v>
      </c>
      <c r="U34" s="18">
        <f t="shared" si="5"/>
        <v>100250</v>
      </c>
      <c r="V34" s="18">
        <f t="shared" si="6"/>
        <v>150375</v>
      </c>
      <c r="W34" s="39">
        <f t="shared" si="19"/>
        <v>10</v>
      </c>
      <c r="X34" s="19">
        <f t="shared" si="20"/>
        <v>0.1</v>
      </c>
      <c r="Y34" s="18">
        <f t="shared" si="1"/>
        <v>15037.5</v>
      </c>
      <c r="Z34" s="6"/>
    </row>
    <row r="35" spans="1:26" x14ac:dyDescent="0.2">
      <c r="A35" s="42"/>
      <c r="B35" s="42">
        <v>1920</v>
      </c>
      <c r="C35" s="14" t="s">
        <v>33</v>
      </c>
      <c r="D35" s="15">
        <f>+'2025 Combined'!G35</f>
        <v>636759.62760000001</v>
      </c>
      <c r="E35" s="15">
        <v>785000</v>
      </c>
      <c r="F35" s="15">
        <v>0</v>
      </c>
      <c r="G35" s="16">
        <f t="shared" si="16"/>
        <v>1421759.6276</v>
      </c>
      <c r="H35" s="15">
        <v>5</v>
      </c>
      <c r="I35" s="15">
        <f>+'2025 Combined'!L35</f>
        <v>112096.26076</v>
      </c>
      <c r="J35" s="30">
        <f t="shared" si="17"/>
        <v>205851.92552000002</v>
      </c>
      <c r="K35" s="15"/>
      <c r="L35" s="16">
        <f t="shared" si="18"/>
        <v>317948.18628000002</v>
      </c>
      <c r="M35" s="18">
        <f t="shared" si="15"/>
        <v>1103811.44132</v>
      </c>
      <c r="O35" s="42"/>
      <c r="P35" s="42">
        <v>1920</v>
      </c>
      <c r="Q35" s="14" t="s">
        <v>33</v>
      </c>
      <c r="R35" s="18">
        <f t="shared" si="3"/>
        <v>636759.62760000001</v>
      </c>
      <c r="S35" s="32">
        <v>0</v>
      </c>
      <c r="T35" s="18">
        <f t="shared" si="4"/>
        <v>636759.62760000001</v>
      </c>
      <c r="U35" s="18">
        <f t="shared" si="5"/>
        <v>785000</v>
      </c>
      <c r="V35" s="18">
        <f t="shared" si="6"/>
        <v>1029259.6276</v>
      </c>
      <c r="W35" s="39">
        <v>5</v>
      </c>
      <c r="X35" s="19">
        <f>IF(H35=0,"-",1/W35)</f>
        <v>0.2</v>
      </c>
      <c r="Y35" s="18">
        <f t="shared" si="1"/>
        <v>205851.92552000002</v>
      </c>
      <c r="Z35" s="6"/>
    </row>
    <row r="36" spans="1:26" x14ac:dyDescent="0.2">
      <c r="A36" s="42">
        <v>10.1</v>
      </c>
      <c r="B36" s="42">
        <v>1930</v>
      </c>
      <c r="C36" s="14" t="s">
        <v>34</v>
      </c>
      <c r="D36" s="15">
        <f>+'2025 Combined'!G36</f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+'2025 Combined'!L36</f>
        <v>108774.12300000001</v>
      </c>
      <c r="J36" s="30">
        <f t="shared" si="17"/>
        <v>31078.346000000005</v>
      </c>
      <c r="K36" s="15"/>
      <c r="L36" s="16">
        <f t="shared" si="18"/>
        <v>139852.46900000001</v>
      </c>
      <c r="M36" s="18">
        <f t="shared" si="15"/>
        <v>15539.260999999999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18">
        <f t="shared" si="6"/>
        <v>155391.73000000001</v>
      </c>
      <c r="W36" s="39">
        <f t="shared" si="19"/>
        <v>5</v>
      </c>
      <c r="X36" s="19">
        <f t="shared" si="20"/>
        <v>0.2</v>
      </c>
      <c r="Y36" s="18">
        <f t="shared" si="1"/>
        <v>31078.346000000005</v>
      </c>
      <c r="Z36" s="6"/>
    </row>
    <row r="37" spans="1:26" x14ac:dyDescent="0.2">
      <c r="A37" s="42"/>
      <c r="B37" s="42">
        <v>1935</v>
      </c>
      <c r="C37" s="14" t="s">
        <v>35</v>
      </c>
      <c r="D37" s="15">
        <f>+'2025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+'2025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6"/>
        <v>0</v>
      </c>
      <c r="W37" s="39">
        <f t="shared" si="19"/>
        <v>0</v>
      </c>
      <c r="X37" s="19" t="str">
        <f t="shared" si="20"/>
        <v>-</v>
      </c>
      <c r="Y37" s="18">
        <f t="shared" si="1"/>
        <v>0</v>
      </c>
    </row>
    <row r="38" spans="1:26" x14ac:dyDescent="0.2">
      <c r="A38" s="42"/>
      <c r="B38" s="42">
        <v>1940</v>
      </c>
      <c r="C38" s="14" t="s">
        <v>39</v>
      </c>
      <c r="D38" s="15">
        <f>+'2025 Combined'!G38</f>
        <v>168500</v>
      </c>
      <c r="E38" s="15">
        <v>0</v>
      </c>
      <c r="F38" s="15">
        <v>0</v>
      </c>
      <c r="G38" s="16">
        <f t="shared" si="16"/>
        <v>168500</v>
      </c>
      <c r="H38" s="15">
        <v>10</v>
      </c>
      <c r="I38" s="15">
        <f>+'2025 Combined'!L38</f>
        <v>16850</v>
      </c>
      <c r="J38" s="30">
        <f t="shared" si="17"/>
        <v>16850</v>
      </c>
      <c r="K38" s="15"/>
      <c r="L38" s="16">
        <f t="shared" si="18"/>
        <v>33700</v>
      </c>
      <c r="M38" s="18">
        <f t="shared" si="15"/>
        <v>134800</v>
      </c>
      <c r="O38" s="42"/>
      <c r="P38" s="42">
        <v>1940</v>
      </c>
      <c r="Q38" s="14" t="s">
        <v>39</v>
      </c>
      <c r="R38" s="18">
        <f t="shared" si="3"/>
        <v>168500</v>
      </c>
      <c r="S38" s="32">
        <v>0</v>
      </c>
      <c r="T38" s="18">
        <f t="shared" si="4"/>
        <v>168500</v>
      </c>
      <c r="U38" s="18">
        <f t="shared" si="5"/>
        <v>0</v>
      </c>
      <c r="V38" s="18">
        <f t="shared" si="6"/>
        <v>168500</v>
      </c>
      <c r="W38" s="39">
        <f t="shared" si="19"/>
        <v>10</v>
      </c>
      <c r="X38" s="19">
        <f t="shared" si="20"/>
        <v>0.1</v>
      </c>
      <c r="Y38" s="18">
        <f t="shared" si="1"/>
        <v>16850</v>
      </c>
    </row>
    <row r="39" spans="1:26" x14ac:dyDescent="0.2">
      <c r="A39" s="42"/>
      <c r="B39" s="42">
        <v>1945</v>
      </c>
      <c r="C39" s="14" t="s">
        <v>40</v>
      </c>
      <c r="D39" s="15">
        <f>+'2025 Combined'!G39</f>
        <v>8792.5300000000007</v>
      </c>
      <c r="E39" s="15">
        <v>0</v>
      </c>
      <c r="F39" s="15">
        <v>0</v>
      </c>
      <c r="G39" s="16">
        <f t="shared" si="16"/>
        <v>8792.5300000000007</v>
      </c>
      <c r="H39" s="15">
        <v>5</v>
      </c>
      <c r="I39" s="15">
        <f>+'2025 Combined'!L39</f>
        <v>2491.2160000000003</v>
      </c>
      <c r="J39" s="30">
        <f t="shared" si="17"/>
        <v>1758.5060000000003</v>
      </c>
      <c r="K39" s="15"/>
      <c r="L39" s="16">
        <f t="shared" si="18"/>
        <v>4249.7220000000007</v>
      </c>
      <c r="M39" s="18">
        <f t="shared" si="15"/>
        <v>4542.808</v>
      </c>
      <c r="O39" s="42"/>
      <c r="P39" s="42">
        <v>1945</v>
      </c>
      <c r="Q39" s="14" t="s">
        <v>40</v>
      </c>
      <c r="R39" s="18">
        <f t="shared" si="3"/>
        <v>8792.5300000000007</v>
      </c>
      <c r="S39" s="32">
        <v>0</v>
      </c>
      <c r="T39" s="18">
        <f t="shared" si="4"/>
        <v>8792.5300000000007</v>
      </c>
      <c r="U39" s="18">
        <f t="shared" si="5"/>
        <v>0</v>
      </c>
      <c r="V39" s="18">
        <f t="shared" si="6"/>
        <v>8792.5300000000007</v>
      </c>
      <c r="W39" s="39">
        <f t="shared" si="19"/>
        <v>5</v>
      </c>
      <c r="X39" s="19">
        <f t="shared" si="20"/>
        <v>0.2</v>
      </c>
      <c r="Y39" s="18">
        <f t="shared" si="1"/>
        <v>1758.5060000000003</v>
      </c>
    </row>
    <row r="40" spans="1:26" x14ac:dyDescent="0.2">
      <c r="A40" s="42"/>
      <c r="B40" s="42">
        <v>1950</v>
      </c>
      <c r="C40" s="14" t="s">
        <v>41</v>
      </c>
      <c r="D40" s="15">
        <f>+'2025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>
        <f>+'2025 Combined'!L40</f>
        <v>0</v>
      </c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6"/>
        <v>0</v>
      </c>
      <c r="W40" s="39">
        <f t="shared" si="19"/>
        <v>0</v>
      </c>
      <c r="X40" s="19" t="str">
        <f t="shared" si="20"/>
        <v>-</v>
      </c>
      <c r="Y40" s="18">
        <f t="shared" si="1"/>
        <v>0</v>
      </c>
    </row>
    <row r="41" spans="1:26" x14ac:dyDescent="0.2">
      <c r="A41" s="42"/>
      <c r="B41" s="42">
        <v>1955</v>
      </c>
      <c r="C41" s="14" t="s">
        <v>42</v>
      </c>
      <c r="D41" s="15">
        <f>+'2025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>
        <f>+'2025 Combined'!L41</f>
        <v>0</v>
      </c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6"/>
        <v>0</v>
      </c>
      <c r="W41" s="39">
        <f t="shared" si="19"/>
        <v>0</v>
      </c>
      <c r="X41" s="19" t="str">
        <f t="shared" si="20"/>
        <v>-</v>
      </c>
      <c r="Y41" s="18">
        <f t="shared" si="1"/>
        <v>0</v>
      </c>
    </row>
    <row r="42" spans="1:26" x14ac:dyDescent="0.2">
      <c r="A42" s="42"/>
      <c r="B42" s="42">
        <v>1960</v>
      </c>
      <c r="C42" s="14" t="s">
        <v>43</v>
      </c>
      <c r="D42" s="15">
        <f>+'2025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>
        <f>+'2025 Combined'!L42</f>
        <v>0</v>
      </c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6"/>
        <v>0</v>
      </c>
      <c r="W42" s="39">
        <f t="shared" si="19"/>
        <v>0</v>
      </c>
      <c r="X42" s="19" t="str">
        <f t="shared" si="20"/>
        <v>-</v>
      </c>
      <c r="Y42" s="18">
        <f t="shared" si="1"/>
        <v>0</v>
      </c>
    </row>
    <row r="43" spans="1:26" x14ac:dyDescent="0.2">
      <c r="A43" s="42"/>
      <c r="B43" s="42">
        <v>1980</v>
      </c>
      <c r="C43" s="14" t="s">
        <v>44</v>
      </c>
      <c r="D43" s="15">
        <f>+'2025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>
        <f>+'2025 Combined'!L43</f>
        <v>0</v>
      </c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6"/>
        <v>0</v>
      </c>
      <c r="W43" s="39">
        <f t="shared" si="19"/>
        <v>0</v>
      </c>
      <c r="X43" s="19" t="str">
        <f t="shared" si="20"/>
        <v>-</v>
      </c>
      <c r="Y43" s="18">
        <f t="shared" si="1"/>
        <v>0</v>
      </c>
    </row>
    <row r="44" spans="1:26" x14ac:dyDescent="0.2">
      <c r="A44" s="42"/>
      <c r="B44" s="42">
        <v>1995</v>
      </c>
      <c r="C44" s="14" t="s">
        <v>12</v>
      </c>
      <c r="D44" s="15">
        <f>+'2025 Combined'!G44</f>
        <v>-487134094.07999998</v>
      </c>
      <c r="E44" s="15">
        <v>0</v>
      </c>
      <c r="F44" s="15">
        <v>0</v>
      </c>
      <c r="G44" s="16">
        <f t="shared" si="16"/>
        <v>-487134094.07999998</v>
      </c>
      <c r="H44" s="15" t="s">
        <v>147</v>
      </c>
      <c r="I44" s="15">
        <f>+'2025 Combined'!L44</f>
        <v>-20863750.340069927</v>
      </c>
      <c r="J44" s="30">
        <f t="shared" si="17"/>
        <v>-9987579.0980601441</v>
      </c>
      <c r="K44" s="15"/>
      <c r="L44" s="16">
        <f t="shared" si="18"/>
        <v>-30851329.438130073</v>
      </c>
      <c r="M44" s="18">
        <f>G44-L44</f>
        <v>-456282764.6418699</v>
      </c>
      <c r="O44" s="42"/>
      <c r="P44" s="42">
        <v>1995</v>
      </c>
      <c r="Q44" s="14" t="s">
        <v>12</v>
      </c>
      <c r="R44" s="18">
        <f t="shared" si="3"/>
        <v>-487134094.07999998</v>
      </c>
      <c r="S44" s="32">
        <v>0</v>
      </c>
      <c r="T44" s="18">
        <f t="shared" si="4"/>
        <v>-487134094.07999998</v>
      </c>
      <c r="U44" s="18">
        <f t="shared" si="5"/>
        <v>0</v>
      </c>
      <c r="V44" s="18">
        <f t="shared" si="6"/>
        <v>-487134094.07999998</v>
      </c>
      <c r="W44" s="39" t="str">
        <f t="shared" si="19"/>
        <v>Note 1</v>
      </c>
      <c r="X44" s="19" t="s">
        <v>147</v>
      </c>
      <c r="Y44" s="18">
        <v>-9987579.0980601441</v>
      </c>
    </row>
    <row r="45" spans="1:26" x14ac:dyDescent="0.2">
      <c r="A45" s="43"/>
      <c r="B45" s="43">
        <v>2440</v>
      </c>
      <c r="C45" s="40" t="s">
        <v>57</v>
      </c>
      <c r="D45" s="15">
        <f>+'2025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>
        <f>+'2025 Combined'!L45</f>
        <v>0</v>
      </c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6"/>
        <v>0</v>
      </c>
      <c r="W45" s="39">
        <f t="shared" si="19"/>
        <v>0</v>
      </c>
      <c r="X45" s="19" t="str">
        <f t="shared" si="20"/>
        <v>-</v>
      </c>
      <c r="Y45" s="18">
        <f t="shared" ref="Y45:Y46" si="22">IF(V45=0,0,V45*X45)</f>
        <v>0</v>
      </c>
    </row>
    <row r="46" spans="1:26" x14ac:dyDescent="0.2">
      <c r="A46" s="42"/>
      <c r="B46" s="42"/>
      <c r="C46" s="14"/>
      <c r="D46" s="15">
        <f>+'2025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>
        <f>+'2025 Combined'!L46</f>
        <v>0</v>
      </c>
      <c r="J46" s="30">
        <f t="shared" si="17"/>
        <v>0</v>
      </c>
      <c r="K46" s="15"/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6"/>
        <v>0</v>
      </c>
      <c r="W46" s="39">
        <f>H46</f>
        <v>0</v>
      </c>
      <c r="X46" s="19" t="str">
        <f t="shared" si="20"/>
        <v>-</v>
      </c>
      <c r="Y46" s="18">
        <f t="shared" si="22"/>
        <v>0</v>
      </c>
    </row>
    <row r="47" spans="1:26" s="4" customFormat="1" x14ac:dyDescent="0.2">
      <c r="A47" s="44"/>
      <c r="B47" s="44"/>
      <c r="C47" s="20" t="s">
        <v>58</v>
      </c>
      <c r="D47" s="22">
        <f>SUM(D12:D15,D17:D29,D31:D46)</f>
        <v>1322061209.9775996</v>
      </c>
      <c r="E47" s="22">
        <f>SUM(E12:E15,E17:E29,E31:E46)</f>
        <v>2671850</v>
      </c>
      <c r="F47" s="22">
        <f>SUM(F12:F15,F17:F29,F31:F46)</f>
        <v>0</v>
      </c>
      <c r="G47" s="22">
        <f>SUM(G12:G15,G17:G29,G31:G46)</f>
        <v>1324733059.9775996</v>
      </c>
      <c r="H47" s="33"/>
      <c r="I47" s="22">
        <f>SUM(I12:I15,I17:I29,I31:I46)</f>
        <v>74482532.609351158</v>
      </c>
      <c r="J47" s="22">
        <f>SUM(J12:J15,J17:J29,J31:J46)</f>
        <v>26863557.792454295</v>
      </c>
      <c r="K47" s="22">
        <f>SUM(K12:K15,K17:K29,K31:K46)</f>
        <v>0</v>
      </c>
      <c r="L47" s="22">
        <f>SUM(L12:L15,L17:L29,L31:L46)</f>
        <v>101346090.40180546</v>
      </c>
      <c r="M47" s="22">
        <f>SUM(M12:M15,M17:M29,M31:M46)</f>
        <v>1223386969.5757942</v>
      </c>
      <c r="N47" s="46"/>
      <c r="O47" s="44"/>
      <c r="P47" s="44"/>
      <c r="Q47" s="20" t="s">
        <v>77</v>
      </c>
      <c r="R47" s="22">
        <f>SUM(R12:R15,R17:R29,R31:R46)</f>
        <v>1322061209.9775996</v>
      </c>
      <c r="S47" s="22">
        <f>SUM(S12:S15,S17:S29,S31:S46)</f>
        <v>0</v>
      </c>
      <c r="T47" s="22">
        <f>SUM(T12:T15,T17:T29,T31:T46)</f>
        <v>1322061209.9775996</v>
      </c>
      <c r="U47" s="22">
        <f>SUM(U12:U15,U17:U29,U31:U46)</f>
        <v>2671850</v>
      </c>
      <c r="V47" s="22">
        <f>SUM(V12:V15,V17:V29,V31:V46)</f>
        <v>1323397134.9775996</v>
      </c>
      <c r="W47" s="24"/>
      <c r="X47" s="24"/>
      <c r="Y47" s="22">
        <f>SUM(Y12:Y15,Y17:Y29,Y31:Y45)</f>
        <v>26863557.792454295</v>
      </c>
    </row>
    <row r="48" spans="1:26" x14ac:dyDescent="0.2">
      <c r="A48" s="42"/>
      <c r="B48" s="44">
        <v>2055</v>
      </c>
      <c r="C48" s="20" t="s">
        <v>59</v>
      </c>
      <c r="D48" s="15">
        <v>0</v>
      </c>
      <c r="E48" s="15">
        <v>0</v>
      </c>
      <c r="F48" s="15">
        <v>0</v>
      </c>
      <c r="G48" s="16">
        <f t="shared" ref="G48:G49" si="23">SUM(D48:F48)</f>
        <v>0</v>
      </c>
      <c r="H48" s="33"/>
      <c r="I48" s="15"/>
      <c r="J48" s="15"/>
      <c r="K48" s="15"/>
      <c r="L48" s="16">
        <f t="shared" ref="L48:L49" si="24">SUM(I48:K48)</f>
        <v>0</v>
      </c>
      <c r="M48" s="14"/>
      <c r="O48" s="76" t="s">
        <v>149</v>
      </c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23"/>
        <v>0</v>
      </c>
      <c r="H49" s="33"/>
      <c r="I49" s="15"/>
      <c r="J49" s="15"/>
      <c r="K49" s="15"/>
      <c r="L49" s="16">
        <f t="shared" si="24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1322061209.9775996</v>
      </c>
      <c r="E50" s="16">
        <f>SUM(E47:E49)</f>
        <v>2671850</v>
      </c>
      <c r="F50" s="16">
        <f>SUM(F47:F49)</f>
        <v>0</v>
      </c>
      <c r="G50" s="16">
        <f>SUM(G47:G49)</f>
        <v>1324733059.9775996</v>
      </c>
      <c r="H50" s="33"/>
      <c r="I50" s="16">
        <f>SUM(I47:I49)</f>
        <v>74482532.609351158</v>
      </c>
      <c r="J50" s="16">
        <f>SUM(J47:J49)</f>
        <v>26863557.792454295</v>
      </c>
      <c r="K50" s="16">
        <f>SUM(K47:K49)</f>
        <v>0</v>
      </c>
      <c r="L50" s="16">
        <f>SUM(L47:L49)</f>
        <v>101346090.40180546</v>
      </c>
      <c r="M50" s="16">
        <f>SUM(M47:M49)</f>
        <v>1223386969.5757942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8" t="s">
        <v>62</v>
      </c>
      <c r="D51" s="88"/>
      <c r="E51" s="88"/>
      <c r="F51" s="88"/>
      <c r="G51" s="88"/>
      <c r="H51" s="88"/>
      <c r="I51" s="88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9" t="s">
        <v>63</v>
      </c>
      <c r="D52" s="89"/>
      <c r="E52" s="89"/>
      <c r="F52" s="89"/>
      <c r="G52" s="89"/>
      <c r="H52" s="89"/>
      <c r="I52" s="89"/>
      <c r="J52" s="16">
        <f>J50+J51</f>
        <v>26863557.792454295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14.45" customHeight="1" x14ac:dyDescent="0.2">
      <c r="A53" s="76" t="s">
        <v>148</v>
      </c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26863557.792454295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Header>&amp;REB-2025-0192</oddHeader>
    <oddFooter>&amp;L&amp;"Times New Roman,Regular"&amp;8 53141182.2</oddFooter>
  </headerFooter>
  <colBreaks count="1" manualBreakCount="1">
    <brk id="8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A98C-E874-47F4-96ED-7CEC896B06A3}">
  <sheetPr>
    <pageSetUpPr fitToPage="1"/>
  </sheetPr>
  <dimension ref="A2:Z62"/>
  <sheetViews>
    <sheetView showGridLines="0" view="pageBreakPreview" zoomScale="115" zoomScaleNormal="100" zoomScaleSheetLayoutView="115" workbookViewId="0">
      <pane xSplit="3" ySplit="10" topLeftCell="D11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3" t="s">
        <v>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2026</v>
      </c>
      <c r="T5" s="48" t="s">
        <v>74</v>
      </c>
      <c r="U5" s="41">
        <f>F5</f>
        <v>2026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85</v>
      </c>
      <c r="W16" s="49" t="s">
        <v>55</v>
      </c>
      <c r="X16" s="49" t="s">
        <v>56</v>
      </c>
      <c r="Y16" s="49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+'2024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+'2025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>+T17+U17/2</f>
        <v>0</v>
      </c>
      <c r="W17" s="39">
        <f t="shared" ref="W17:W29" si="13">H17</f>
        <v>0</v>
      </c>
      <c r="X17" s="19">
        <f>IF(H17=0,0,1/W17)</f>
        <v>0</v>
      </c>
      <c r="Y17" s="18">
        <f>+V17*X17</f>
        <v>0</v>
      </c>
    </row>
    <row r="18" spans="1:26" x14ac:dyDescent="0.2">
      <c r="A18" s="42"/>
      <c r="B18" s="42">
        <v>1706</v>
      </c>
      <c r="C18" s="14" t="s">
        <v>25</v>
      </c>
      <c r="D18" s="15">
        <f>+'2024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+'2025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ref="V18:V29" si="14">+T18+U18/2</f>
        <v>0</v>
      </c>
      <c r="W18" s="39">
        <f t="shared" si="13"/>
        <v>0</v>
      </c>
      <c r="X18" s="19">
        <f t="shared" ref="X18:X29" si="15">IF(H18=0,0,1/W18)</f>
        <v>0</v>
      </c>
      <c r="Y18" s="18">
        <f t="shared" ref="Y18:Y29" si="16">+V18*X18</f>
        <v>0</v>
      </c>
    </row>
    <row r="19" spans="1:26" x14ac:dyDescent="0.2">
      <c r="A19" s="42"/>
      <c r="B19" s="42">
        <v>1708</v>
      </c>
      <c r="C19" s="14" t="s">
        <v>31</v>
      </c>
      <c r="D19" s="15">
        <f>+'2024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+'2025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4"/>
        <v>0</v>
      </c>
      <c r="W19" s="39">
        <f t="shared" si="13"/>
        <v>0</v>
      </c>
      <c r="X19" s="19">
        <f t="shared" si="15"/>
        <v>0</v>
      </c>
      <c r="Y19" s="18">
        <f t="shared" si="16"/>
        <v>0</v>
      </c>
    </row>
    <row r="20" spans="1:26" x14ac:dyDescent="0.2">
      <c r="A20" s="42"/>
      <c r="B20" s="42">
        <v>1710</v>
      </c>
      <c r="C20" s="14" t="s">
        <v>26</v>
      </c>
      <c r="D20" s="15">
        <f>+'2024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+'2025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4"/>
        <v>0</v>
      </c>
      <c r="W20" s="39">
        <f t="shared" si="13"/>
        <v>0</v>
      </c>
      <c r="X20" s="19">
        <f t="shared" si="15"/>
        <v>0</v>
      </c>
      <c r="Y20" s="18">
        <f t="shared" si="16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LTPL'!G21</f>
        <v>45706801.499999985</v>
      </c>
      <c r="E21" s="15">
        <v>0</v>
      </c>
      <c r="F21" s="15">
        <v>0</v>
      </c>
      <c r="G21" s="16">
        <f t="shared" si="9"/>
        <v>45706801.499999985</v>
      </c>
      <c r="H21" s="38">
        <f>'2026 Combined'!H21</f>
        <v>50</v>
      </c>
      <c r="I21" s="32">
        <f>+'2025 LTPL'!L21</f>
        <v>2775107.6899999995</v>
      </c>
      <c r="J21" s="30">
        <f t="shared" si="10"/>
        <v>914136.02999999968</v>
      </c>
      <c r="K21" s="32"/>
      <c r="L21" s="16">
        <f t="shared" si="11"/>
        <v>3689243.7199999993</v>
      </c>
      <c r="M21" s="18">
        <f t="shared" si="12"/>
        <v>42017557.779999986</v>
      </c>
      <c r="O21" s="42">
        <v>47</v>
      </c>
      <c r="P21" s="42">
        <v>1715</v>
      </c>
      <c r="Q21" s="14" t="s">
        <v>14</v>
      </c>
      <c r="R21" s="18">
        <f t="shared" si="2"/>
        <v>45706801.499999985</v>
      </c>
      <c r="S21" s="32">
        <v>0</v>
      </c>
      <c r="T21" s="18">
        <f t="shared" si="3"/>
        <v>45706801.499999985</v>
      </c>
      <c r="U21" s="18">
        <f t="shared" si="4"/>
        <v>0</v>
      </c>
      <c r="V21" s="18">
        <f t="shared" si="14"/>
        <v>45706801.499999985</v>
      </c>
      <c r="W21" s="39">
        <f t="shared" si="13"/>
        <v>50</v>
      </c>
      <c r="X21" s="19">
        <f t="shared" si="15"/>
        <v>0.02</v>
      </c>
      <c r="Y21" s="18">
        <f t="shared" si="16"/>
        <v>914136.02999999968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LTPL'!G22</f>
        <v>6211421.1399999997</v>
      </c>
      <c r="E22" s="15">
        <v>0</v>
      </c>
      <c r="F22" s="15">
        <v>0</v>
      </c>
      <c r="G22" s="16">
        <f t="shared" si="9"/>
        <v>6211421.1399999997</v>
      </c>
      <c r="H22" s="38">
        <f>'2026 Combined'!H22</f>
        <v>40</v>
      </c>
      <c r="I22" s="32">
        <f>+'2025 LTPL'!L22</f>
        <v>517187.15850000002</v>
      </c>
      <c r="J22" s="30">
        <f t="shared" si="10"/>
        <v>155285.52849999999</v>
      </c>
      <c r="K22" s="32"/>
      <c r="L22" s="16">
        <f t="shared" si="11"/>
        <v>672472.68700000003</v>
      </c>
      <c r="M22" s="18">
        <f t="shared" si="12"/>
        <v>5538948.4529999997</v>
      </c>
      <c r="O22" s="42">
        <v>47</v>
      </c>
      <c r="P22" s="42" t="s">
        <v>10</v>
      </c>
      <c r="Q22" s="14" t="s">
        <v>21</v>
      </c>
      <c r="R22" s="18">
        <f t="shared" si="2"/>
        <v>6211421.1399999997</v>
      </c>
      <c r="S22" s="32">
        <v>0</v>
      </c>
      <c r="T22" s="18">
        <f t="shared" si="3"/>
        <v>6211421.1399999997</v>
      </c>
      <c r="U22" s="18">
        <f t="shared" si="4"/>
        <v>0</v>
      </c>
      <c r="V22" s="18">
        <f t="shared" si="14"/>
        <v>6211421.1399999997</v>
      </c>
      <c r="W22" s="39">
        <f t="shared" si="13"/>
        <v>40</v>
      </c>
      <c r="X22" s="19">
        <f t="shared" si="15"/>
        <v>2.5000000000000001E-2</v>
      </c>
      <c r="Y22" s="18">
        <f t="shared" si="16"/>
        <v>155285.52849999999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LTPL'!G23</f>
        <v>1491469.7</v>
      </c>
      <c r="E23" s="15">
        <v>0</v>
      </c>
      <c r="F23" s="15">
        <v>0</v>
      </c>
      <c r="G23" s="16">
        <f t="shared" si="9"/>
        <v>1491469.7</v>
      </c>
      <c r="H23" s="38">
        <f>'2026 Combined'!H23</f>
        <v>20</v>
      </c>
      <c r="I23" s="32">
        <f>+'2025 LTPL'!L23</f>
        <v>248492.36499999999</v>
      </c>
      <c r="J23" s="30">
        <f t="shared" si="10"/>
        <v>74573.485000000001</v>
      </c>
      <c r="K23" s="32"/>
      <c r="L23" s="16">
        <f t="shared" si="11"/>
        <v>323065.84999999998</v>
      </c>
      <c r="M23" s="18">
        <f>G23-L23</f>
        <v>1168403.8500000001</v>
      </c>
      <c r="O23" s="42">
        <v>47</v>
      </c>
      <c r="P23" s="42" t="s">
        <v>11</v>
      </c>
      <c r="Q23" s="14" t="s">
        <v>22</v>
      </c>
      <c r="R23" s="18">
        <f t="shared" si="2"/>
        <v>1491469.7</v>
      </c>
      <c r="S23" s="32">
        <v>0</v>
      </c>
      <c r="T23" s="18">
        <f t="shared" si="3"/>
        <v>1491469.7</v>
      </c>
      <c r="U23" s="18">
        <f t="shared" si="4"/>
        <v>0</v>
      </c>
      <c r="V23" s="18">
        <f t="shared" si="14"/>
        <v>1491469.7</v>
      </c>
      <c r="W23" s="39">
        <f t="shared" si="13"/>
        <v>20</v>
      </c>
      <c r="X23" s="19">
        <f t="shared" si="15"/>
        <v>0.05</v>
      </c>
      <c r="Y23" s="18">
        <f t="shared" si="16"/>
        <v>74573.485000000001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+'2024 LTPL'!G24</f>
        <v>114421782.53</v>
      </c>
      <c r="E24" s="15">
        <v>0</v>
      </c>
      <c r="F24" s="15">
        <v>0</v>
      </c>
      <c r="G24" s="16">
        <f t="shared" si="9"/>
        <v>114421782.53</v>
      </c>
      <c r="H24" s="38">
        <f>'2026 Combined'!H24</f>
        <v>60</v>
      </c>
      <c r="I24" s="32">
        <f>+'2025 LTPL'!L24</f>
        <v>6314177.0888333321</v>
      </c>
      <c r="J24" s="30">
        <f t="shared" si="10"/>
        <v>1907029.7088333333</v>
      </c>
      <c r="K24" s="32"/>
      <c r="L24" s="16">
        <f t="shared" si="11"/>
        <v>8221206.7976666652</v>
      </c>
      <c r="M24" s="18">
        <f t="shared" ref="M24:M45" si="17">G24-L24</f>
        <v>106200575.73233333</v>
      </c>
      <c r="O24" s="42">
        <v>47</v>
      </c>
      <c r="P24" s="42">
        <v>1720</v>
      </c>
      <c r="Q24" s="14" t="s">
        <v>16</v>
      </c>
      <c r="R24" s="18">
        <f t="shared" si="2"/>
        <v>114421782.53</v>
      </c>
      <c r="S24" s="32">
        <v>0</v>
      </c>
      <c r="T24" s="18">
        <f t="shared" si="3"/>
        <v>114421782.53</v>
      </c>
      <c r="U24" s="18">
        <f t="shared" si="4"/>
        <v>0</v>
      </c>
      <c r="V24" s="18">
        <f t="shared" si="14"/>
        <v>114421782.53</v>
      </c>
      <c r="W24" s="39">
        <f t="shared" si="13"/>
        <v>60</v>
      </c>
      <c r="X24" s="19">
        <f t="shared" si="15"/>
        <v>1.6666666666666666E-2</v>
      </c>
      <c r="Y24" s="18">
        <f t="shared" si="16"/>
        <v>1907029.7088333333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+'2024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+'2025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4"/>
        <v>0</v>
      </c>
      <c r="W25" s="39">
        <f t="shared" si="13"/>
        <v>0</v>
      </c>
      <c r="X25" s="19">
        <f t="shared" si="15"/>
        <v>0</v>
      </c>
      <c r="Y25" s="18">
        <f t="shared" si="16"/>
        <v>0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+'2024 LTPL'!G26</f>
        <v>153460832.95999998</v>
      </c>
      <c r="E26" s="15">
        <v>0</v>
      </c>
      <c r="F26" s="15">
        <v>0</v>
      </c>
      <c r="G26" s="16">
        <f t="shared" si="9"/>
        <v>153460832.95999998</v>
      </c>
      <c r="H26" s="38">
        <f>'2026 Combined'!H26</f>
        <v>45</v>
      </c>
      <c r="I26" s="32">
        <f>+'2025 LTPL'!L26</f>
        <v>10761459.452444445</v>
      </c>
      <c r="J26" s="30">
        <f t="shared" si="10"/>
        <v>3410240.7324444442</v>
      </c>
      <c r="K26" s="32"/>
      <c r="L26" s="16">
        <f t="shared" si="11"/>
        <v>14171700.18488889</v>
      </c>
      <c r="M26" s="18">
        <f t="shared" si="17"/>
        <v>139289132.77511108</v>
      </c>
      <c r="O26" s="42">
        <v>47</v>
      </c>
      <c r="P26" s="42">
        <v>1730</v>
      </c>
      <c r="Q26" s="14" t="s">
        <v>18</v>
      </c>
      <c r="R26" s="18">
        <f t="shared" si="2"/>
        <v>153460832.95999998</v>
      </c>
      <c r="S26" s="32">
        <v>0</v>
      </c>
      <c r="T26" s="18">
        <f t="shared" si="3"/>
        <v>153460832.95999998</v>
      </c>
      <c r="U26" s="18">
        <f t="shared" si="4"/>
        <v>0</v>
      </c>
      <c r="V26" s="18">
        <f t="shared" si="14"/>
        <v>153460832.95999998</v>
      </c>
      <c r="W26" s="39">
        <f t="shared" si="13"/>
        <v>45</v>
      </c>
      <c r="X26" s="19">
        <f t="shared" si="15"/>
        <v>2.2222222222222223E-2</v>
      </c>
      <c r="Y26" s="18">
        <f t="shared" si="16"/>
        <v>3410240.7324444442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+'2024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+'2025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4"/>
        <v>0</v>
      </c>
      <c r="W27" s="39">
        <f t="shared" si="13"/>
        <v>0</v>
      </c>
      <c r="X27" s="19">
        <f t="shared" si="15"/>
        <v>0</v>
      </c>
      <c r="Y27" s="18">
        <f t="shared" si="16"/>
        <v>0</v>
      </c>
    </row>
    <row r="28" spans="1:26" x14ac:dyDescent="0.2">
      <c r="A28" s="42"/>
      <c r="B28" s="42">
        <v>1740</v>
      </c>
      <c r="C28" s="14" t="s">
        <v>20</v>
      </c>
      <c r="D28" s="15">
        <f>+'2024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+'2025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4"/>
        <v>0</v>
      </c>
      <c r="W28" s="39">
        <f t="shared" si="13"/>
        <v>0</v>
      </c>
      <c r="X28" s="19">
        <f t="shared" si="15"/>
        <v>0</v>
      </c>
      <c r="Y28" s="18">
        <f t="shared" si="16"/>
        <v>0</v>
      </c>
    </row>
    <row r="29" spans="1:26" x14ac:dyDescent="0.2">
      <c r="A29" s="42"/>
      <c r="B29" s="42">
        <v>1745</v>
      </c>
      <c r="C29" s="14" t="s">
        <v>27</v>
      </c>
      <c r="D29" s="15">
        <f>+'2024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+'2023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4"/>
        <v>0</v>
      </c>
      <c r="W29" s="39">
        <f t="shared" si="13"/>
        <v>0</v>
      </c>
      <c r="X29" s="19">
        <f t="shared" si="15"/>
        <v>0</v>
      </c>
      <c r="Y29" s="18">
        <f t="shared" si="16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/>
      <c r="I31" s="32"/>
      <c r="J31" s="30">
        <f t="shared" ref="J31:J45" si="19">Y31</f>
        <v>0</v>
      </c>
      <c r="K31" s="32"/>
      <c r="L31" s="16">
        <f t="shared" ref="L31:L45" si="20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/>
      <c r="I32" s="32"/>
      <c r="J32" s="30">
        <f t="shared" si="19"/>
        <v>0</v>
      </c>
      <c r="K32" s="32"/>
      <c r="L32" s="16">
        <f t="shared" si="20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/>
      <c r="I33" s="32"/>
      <c r="J33" s="30">
        <f t="shared" si="19"/>
        <v>0</v>
      </c>
      <c r="K33" s="32"/>
      <c r="L33" s="16">
        <f t="shared" si="20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/>
      <c r="I34" s="32"/>
      <c r="J34" s="30">
        <f t="shared" si="19"/>
        <v>0</v>
      </c>
      <c r="K34" s="32"/>
      <c r="L34" s="16">
        <f t="shared" si="20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/>
      <c r="I35" s="32"/>
      <c r="J35" s="30">
        <f t="shared" si="19"/>
        <v>0</v>
      </c>
      <c r="K35" s="32"/>
      <c r="L35" s="16">
        <f t="shared" si="20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/>
      <c r="I36" s="32"/>
      <c r="J36" s="30">
        <f t="shared" si="19"/>
        <v>0</v>
      </c>
      <c r="K36" s="32"/>
      <c r="L36" s="16">
        <f t="shared" si="20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/>
      <c r="I37" s="32"/>
      <c r="J37" s="30">
        <f t="shared" si="19"/>
        <v>0</v>
      </c>
      <c r="K37" s="32"/>
      <c r="L37" s="16">
        <f t="shared" si="20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/>
      <c r="I38" s="32"/>
      <c r="J38" s="30">
        <f t="shared" si="19"/>
        <v>0</v>
      </c>
      <c r="K38" s="32"/>
      <c r="L38" s="16">
        <f t="shared" si="20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/>
      <c r="I39" s="32"/>
      <c r="J39" s="30">
        <f t="shared" si="19"/>
        <v>0</v>
      </c>
      <c r="K39" s="32"/>
      <c r="L39" s="16">
        <f t="shared" si="20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/>
      <c r="I40" s="32"/>
      <c r="J40" s="30">
        <f t="shared" si="19"/>
        <v>0</v>
      </c>
      <c r="K40" s="32"/>
      <c r="L40" s="16">
        <f t="shared" si="20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/>
      <c r="I41" s="32"/>
      <c r="J41" s="30">
        <f t="shared" si="19"/>
        <v>0</v>
      </c>
      <c r="K41" s="32"/>
      <c r="L41" s="16">
        <f t="shared" si="20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/>
      <c r="I42" s="32"/>
      <c r="J42" s="30">
        <f t="shared" si="19"/>
        <v>0</v>
      </c>
      <c r="K42" s="32"/>
      <c r="L42" s="16">
        <f t="shared" si="20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/>
      <c r="I43" s="32"/>
      <c r="J43" s="30">
        <f t="shared" si="19"/>
        <v>0</v>
      </c>
      <c r="K43" s="32"/>
      <c r="L43" s="16">
        <f t="shared" si="20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/>
      <c r="I44" s="32"/>
      <c r="J44" s="30">
        <f t="shared" si="19"/>
        <v>0</v>
      </c>
      <c r="K44" s="32"/>
      <c r="L44" s="16">
        <f t="shared" si="20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/>
      <c r="I45" s="32"/>
      <c r="J45" s="30">
        <f t="shared" si="19"/>
        <v>0</v>
      </c>
      <c r="K45" s="32"/>
      <c r="L45" s="16">
        <f t="shared" si="20"/>
        <v>0</v>
      </c>
      <c r="M45" s="18">
        <f t="shared" si="17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321292307.82999998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321292307.82999998</v>
      </c>
      <c r="H46" s="33"/>
      <c r="I46" s="22">
        <f>SUM(I12:I15,I17:I29,I31:I45)</f>
        <v>20616423.754777778</v>
      </c>
      <c r="J46" s="22">
        <f>SUM(J12:J15,J17:J29,J31:J45)</f>
        <v>6461265.4847777765</v>
      </c>
      <c r="K46" s="22">
        <f>SUM(K12:K15,K17:K29,K31:K45)</f>
        <v>0</v>
      </c>
      <c r="L46" s="22">
        <f>SUM(L12:L15,L17:L29,L31:L45)</f>
        <v>27077689.239555553</v>
      </c>
      <c r="M46" s="22">
        <f>SUM(M12:M15,M17:M29,M31:M45)</f>
        <v>294214618.59044439</v>
      </c>
      <c r="N46" s="23"/>
      <c r="O46" s="44"/>
      <c r="P46" s="44"/>
      <c r="Q46" s="20" t="s">
        <v>77</v>
      </c>
      <c r="R46" s="22">
        <f>SUM(R12:R15,R17:R29,R31:R45)</f>
        <v>321292307.82999998</v>
      </c>
      <c r="S46" s="22">
        <f>SUM(S12:S15,S17:S29,S31:S45)</f>
        <v>0</v>
      </c>
      <c r="T46" s="22">
        <f>SUM(T12:T15,T17:T29,T31:T45)</f>
        <v>321292307.82999998</v>
      </c>
      <c r="U46" s="22">
        <f>SUM(U12:U15,U17:U29,U31:U45)</f>
        <v>0</v>
      </c>
      <c r="V46" s="22">
        <f>SUM(V12:V15,V17:V29,V31:V45)</f>
        <v>321292307.82999998</v>
      </c>
      <c r="W46" s="24"/>
      <c r="X46" s="24"/>
      <c r="Y46" s="22">
        <f>SUM(Y12:Y15,Y17:Y29,Y31:Y44)</f>
        <v>6461265.4847777765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321292307.82999998</v>
      </c>
      <c r="E49" s="16">
        <f>SUM(E46:E48)</f>
        <v>0</v>
      </c>
      <c r="F49" s="16">
        <f>SUM(F46:F48)</f>
        <v>0</v>
      </c>
      <c r="G49" s="16">
        <f>SUM(G46:G48)</f>
        <v>321292307.82999998</v>
      </c>
      <c r="H49" s="33"/>
      <c r="I49" s="16">
        <f>SUM(I46:I48)</f>
        <v>20616423.754777778</v>
      </c>
      <c r="J49" s="16">
        <f>SUM(J46:J48)</f>
        <v>6461265.4847777765</v>
      </c>
      <c r="K49" s="16">
        <f>SUM(K46:K48)</f>
        <v>0</v>
      </c>
      <c r="L49" s="16">
        <f>SUM(L46:L48)</f>
        <v>27077689.239555553</v>
      </c>
      <c r="M49" s="16">
        <f>SUM(M46:M48)</f>
        <v>294214618.59044439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6461265.4847777765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6461265.4847777765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&amp;REB-2025-0192</oddHeader>
    <oddFooter>&amp;L&amp;"Times New Roman,Regular"&amp;8 53141182.2</oddFooter>
  </headerFooter>
  <colBreaks count="1" manualBreakCount="1">
    <brk id="9" max="5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5F18-C8BD-4EE1-839B-A6D4DEA54750}">
  <sheetPr>
    <pageSetUpPr fitToPage="1"/>
  </sheetPr>
  <dimension ref="A2:Z62"/>
  <sheetViews>
    <sheetView showGridLines="0" tabSelected="1" view="pageBreakPreview" zoomScale="115" zoomScaleNormal="100" zoomScaleSheetLayoutView="115" workbookViewId="0">
      <pane xSplit="3" ySplit="10" topLeftCell="O16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3.5703125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26" width="9.85546875" style="1" bestFit="1" customWidth="1"/>
    <col min="27" max="16384" width="9.140625" style="1"/>
  </cols>
  <sheetData>
    <row r="2" spans="1:25" ht="21" x14ac:dyDescent="0.35">
      <c r="A2" s="83" t="s">
        <v>81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2026</v>
      </c>
      <c r="T5" s="48" t="s">
        <v>74</v>
      </c>
      <c r="U5" s="41">
        <f>F5</f>
        <v>2026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85</v>
      </c>
      <c r="W16" s="17" t="s">
        <v>55</v>
      </c>
      <c r="X16" s="17" t="s">
        <v>56</v>
      </c>
      <c r="Y16" s="17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+'2025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+'2025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>T17+U17*6/12</f>
        <v>0</v>
      </c>
      <c r="W17" s="39">
        <f t="shared" ref="W17:W29" si="10">H17</f>
        <v>0</v>
      </c>
      <c r="X17" s="19">
        <f>IF(H17=0,0,1/W17)</f>
        <v>0</v>
      </c>
      <c r="Y17" s="18">
        <f>+V17*X17</f>
        <v>0</v>
      </c>
    </row>
    <row r="18" spans="1:26" x14ac:dyDescent="0.2">
      <c r="A18" s="42"/>
      <c r="B18" s="42">
        <v>1706</v>
      </c>
      <c r="C18" s="14" t="s">
        <v>25</v>
      </c>
      <c r="D18" s="15">
        <f>+'2025 RCL'!G18</f>
        <v>54795.57</v>
      </c>
      <c r="E18" s="15">
        <v>0</v>
      </c>
      <c r="F18" s="15">
        <v>0</v>
      </c>
      <c r="G18" s="16">
        <f t="shared" si="4"/>
        <v>54795.57</v>
      </c>
      <c r="H18" s="38">
        <v>40</v>
      </c>
      <c r="I18" s="32">
        <f>+'2025 RCL'!L18</f>
        <v>9589.2292500000003</v>
      </c>
      <c r="J18" s="30">
        <f t="shared" si="5"/>
        <v>1369.8892500000002</v>
      </c>
      <c r="K18" s="32"/>
      <c r="L18" s="16">
        <f t="shared" si="6"/>
        <v>10959.1185</v>
      </c>
      <c r="M18" s="18">
        <f t="shared" si="7"/>
        <v>43836.451499999996</v>
      </c>
      <c r="O18" s="42"/>
      <c r="P18" s="42">
        <v>1706</v>
      </c>
      <c r="Q18" s="14" t="s">
        <v>25</v>
      </c>
      <c r="R18" s="18">
        <f t="shared" si="8"/>
        <v>54795.57</v>
      </c>
      <c r="S18" s="32">
        <v>0</v>
      </c>
      <c r="T18" s="18">
        <f t="shared" si="2"/>
        <v>54795.57</v>
      </c>
      <c r="U18" s="18">
        <f t="shared" si="9"/>
        <v>0</v>
      </c>
      <c r="V18" s="18">
        <f t="shared" ref="V18:V29" si="11">T18+U18*6/12</f>
        <v>54795.57</v>
      </c>
      <c r="W18" s="39">
        <f t="shared" si="10"/>
        <v>40</v>
      </c>
      <c r="X18" s="19">
        <f t="shared" ref="X18:X29" si="12">IF(H18=0,0,1/W18)</f>
        <v>2.5000000000000001E-2</v>
      </c>
      <c r="Y18" s="18">
        <f t="shared" ref="Y18:Y29" si="13">+V18*X18</f>
        <v>1369.8892500000002</v>
      </c>
    </row>
    <row r="19" spans="1:26" x14ac:dyDescent="0.2">
      <c r="A19" s="42"/>
      <c r="B19" s="42">
        <v>1708</v>
      </c>
      <c r="C19" s="14" t="s">
        <v>31</v>
      </c>
      <c r="D19" s="15">
        <f>+'2025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+'2025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1"/>
        <v>0</v>
      </c>
      <c r="W19" s="39">
        <f t="shared" si="10"/>
        <v>0</v>
      </c>
      <c r="X19" s="19">
        <f t="shared" si="12"/>
        <v>0</v>
      </c>
      <c r="Y19" s="18">
        <f t="shared" si="13"/>
        <v>0</v>
      </c>
    </row>
    <row r="20" spans="1:26" x14ac:dyDescent="0.2">
      <c r="A20" s="42"/>
      <c r="B20" s="42">
        <v>1710</v>
      </c>
      <c r="C20" s="14" t="s">
        <v>26</v>
      </c>
      <c r="D20" s="15">
        <f>+'2025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+'2025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1"/>
        <v>0</v>
      </c>
      <c r="W20" s="39">
        <f t="shared" si="10"/>
        <v>0</v>
      </c>
      <c r="X20" s="19">
        <f t="shared" si="12"/>
        <v>0</v>
      </c>
      <c r="Y20" s="18">
        <f t="shared" si="13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+'2025 RCL'!G21</f>
        <v>327030131.00999969</v>
      </c>
      <c r="E21" s="15">
        <v>0</v>
      </c>
      <c r="F21" s="15">
        <v>0</v>
      </c>
      <c r="G21" s="16">
        <f t="shared" si="4"/>
        <v>327030131.00999969</v>
      </c>
      <c r="H21" s="38">
        <f>'2026 Combined'!H21</f>
        <v>50</v>
      </c>
      <c r="I21" s="32">
        <f>+'2025 RCL'!L21</f>
        <v>15840982.300199993</v>
      </c>
      <c r="J21" s="30">
        <f t="shared" si="5"/>
        <v>6540602.6201999942</v>
      </c>
      <c r="K21" s="32"/>
      <c r="L21" s="16">
        <f t="shared" si="6"/>
        <v>22381584.920399986</v>
      </c>
      <c r="M21" s="18">
        <f t="shared" si="7"/>
        <v>304648546.08959973</v>
      </c>
      <c r="O21" s="42">
        <v>47</v>
      </c>
      <c r="P21" s="42">
        <v>1715</v>
      </c>
      <c r="Q21" s="14" t="s">
        <v>14</v>
      </c>
      <c r="R21" s="18">
        <f t="shared" si="8"/>
        <v>327030131.00999969</v>
      </c>
      <c r="S21" s="32">
        <v>0</v>
      </c>
      <c r="T21" s="18">
        <f t="shared" si="2"/>
        <v>327030131.00999969</v>
      </c>
      <c r="U21" s="18">
        <f t="shared" si="9"/>
        <v>0</v>
      </c>
      <c r="V21" s="18">
        <f t="shared" si="11"/>
        <v>327030131.00999969</v>
      </c>
      <c r="W21" s="39">
        <f t="shared" si="10"/>
        <v>50</v>
      </c>
      <c r="X21" s="19">
        <f t="shared" si="12"/>
        <v>0.02</v>
      </c>
      <c r="Y21" s="18">
        <f t="shared" si="13"/>
        <v>6540602.6201999942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+'2025 RCL'!G22</f>
        <v>27667285.099999998</v>
      </c>
      <c r="E22" s="15">
        <v>0</v>
      </c>
      <c r="F22" s="15">
        <v>0</v>
      </c>
      <c r="G22" s="16">
        <f t="shared" si="4"/>
        <v>27667285.099999998</v>
      </c>
      <c r="H22" s="38">
        <f>'2026 Combined'!H22</f>
        <v>40</v>
      </c>
      <c r="I22" s="32">
        <f>+'2025 RCL'!L22</f>
        <v>1591509.2675000001</v>
      </c>
      <c r="J22" s="30">
        <f t="shared" si="5"/>
        <v>691682.12749999994</v>
      </c>
      <c r="K22" s="32"/>
      <c r="L22" s="16">
        <f t="shared" si="6"/>
        <v>2283191.395</v>
      </c>
      <c r="M22" s="18">
        <f t="shared" si="7"/>
        <v>25384093.704999998</v>
      </c>
      <c r="O22" s="42">
        <v>47</v>
      </c>
      <c r="P22" s="42" t="s">
        <v>10</v>
      </c>
      <c r="Q22" s="14" t="s">
        <v>21</v>
      </c>
      <c r="R22" s="18">
        <f t="shared" si="8"/>
        <v>27667285.099999998</v>
      </c>
      <c r="S22" s="32">
        <v>0</v>
      </c>
      <c r="T22" s="18">
        <f t="shared" si="2"/>
        <v>27667285.099999998</v>
      </c>
      <c r="U22" s="18">
        <f t="shared" si="9"/>
        <v>0</v>
      </c>
      <c r="V22" s="18">
        <f t="shared" si="11"/>
        <v>27667285.099999998</v>
      </c>
      <c r="W22" s="39">
        <f t="shared" si="10"/>
        <v>40</v>
      </c>
      <c r="X22" s="19">
        <f t="shared" si="12"/>
        <v>2.5000000000000001E-2</v>
      </c>
      <c r="Y22" s="18">
        <f t="shared" si="13"/>
        <v>691682.12749999994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+'2025 RCL'!G23</f>
        <v>13471551.410000002</v>
      </c>
      <c r="E23" s="15">
        <v>0</v>
      </c>
      <c r="F23" s="15">
        <v>0</v>
      </c>
      <c r="G23" s="16">
        <f t="shared" si="4"/>
        <v>13471551.410000002</v>
      </c>
      <c r="H23" s="38">
        <f>'2026 Combined'!H23</f>
        <v>20</v>
      </c>
      <c r="I23" s="32">
        <f>+'2025 RCL'!L23</f>
        <v>1502428.9705000003</v>
      </c>
      <c r="J23" s="30">
        <f t="shared" si="5"/>
        <v>673577.57050000015</v>
      </c>
      <c r="K23" s="32"/>
      <c r="L23" s="16">
        <f t="shared" si="6"/>
        <v>2176006.5410000002</v>
      </c>
      <c r="M23" s="18">
        <f>G23-L23</f>
        <v>11295544.869000003</v>
      </c>
      <c r="O23" s="42">
        <v>47</v>
      </c>
      <c r="P23" s="42" t="s">
        <v>11</v>
      </c>
      <c r="Q23" s="14" t="s">
        <v>22</v>
      </c>
      <c r="R23" s="18">
        <f t="shared" si="8"/>
        <v>13471551.410000002</v>
      </c>
      <c r="S23" s="32">
        <v>0</v>
      </c>
      <c r="T23" s="18">
        <f t="shared" si="2"/>
        <v>13471551.410000002</v>
      </c>
      <c r="U23" s="18">
        <f t="shared" si="9"/>
        <v>0</v>
      </c>
      <c r="V23" s="18">
        <f t="shared" si="11"/>
        <v>13471551.410000002</v>
      </c>
      <c r="W23" s="39">
        <f t="shared" si="10"/>
        <v>20</v>
      </c>
      <c r="X23" s="19">
        <f t="shared" si="12"/>
        <v>0.05</v>
      </c>
      <c r="Y23" s="18">
        <f t="shared" si="13"/>
        <v>673577.57050000015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+'2025 RCL'!G24</f>
        <v>502793594.23000002</v>
      </c>
      <c r="E24" s="15">
        <v>0</v>
      </c>
      <c r="F24" s="15">
        <v>0</v>
      </c>
      <c r="G24" s="16">
        <f t="shared" si="4"/>
        <v>502793594.23000002</v>
      </c>
      <c r="H24" s="38">
        <f>'2026 Combined'!H24</f>
        <v>60</v>
      </c>
      <c r="I24" s="32">
        <f>+'2025 RCL'!L24</f>
        <v>18995533.597166665</v>
      </c>
      <c r="J24" s="30">
        <f t="shared" si="5"/>
        <v>8379893.2371666664</v>
      </c>
      <c r="K24" s="32"/>
      <c r="L24" s="16">
        <f t="shared" si="6"/>
        <v>27375426.83433333</v>
      </c>
      <c r="M24" s="18">
        <f t="shared" ref="M24:M45" si="14">G24-L24</f>
        <v>475418167.39566672</v>
      </c>
      <c r="O24" s="42">
        <v>47</v>
      </c>
      <c r="P24" s="42">
        <v>1720</v>
      </c>
      <c r="Q24" s="14" t="s">
        <v>16</v>
      </c>
      <c r="R24" s="18">
        <f t="shared" si="8"/>
        <v>502793594.23000002</v>
      </c>
      <c r="S24" s="32">
        <v>0</v>
      </c>
      <c r="T24" s="18">
        <f t="shared" si="2"/>
        <v>502793594.23000002</v>
      </c>
      <c r="U24" s="18">
        <f t="shared" si="9"/>
        <v>0</v>
      </c>
      <c r="V24" s="18">
        <f t="shared" si="11"/>
        <v>502793594.23000002</v>
      </c>
      <c r="W24" s="39">
        <f t="shared" si="10"/>
        <v>60</v>
      </c>
      <c r="X24" s="19">
        <f t="shared" si="12"/>
        <v>1.6666666666666666E-2</v>
      </c>
      <c r="Y24" s="18">
        <f t="shared" si="13"/>
        <v>8379893.2371666664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+'2025 RCL'!G25</f>
        <v>57710262.449999988</v>
      </c>
      <c r="E25" s="15">
        <v>800000</v>
      </c>
      <c r="F25" s="15">
        <v>0</v>
      </c>
      <c r="G25" s="16">
        <f t="shared" si="4"/>
        <v>58510262.449999988</v>
      </c>
      <c r="H25" s="38">
        <f>'2026 Combined'!H25</f>
        <v>45</v>
      </c>
      <c r="I25" s="32">
        <f>+'2025 RCL'!L25</f>
        <v>5229453.4977777768</v>
      </c>
      <c r="J25" s="30">
        <f t="shared" si="5"/>
        <v>1291339.1655555554</v>
      </c>
      <c r="K25" s="32"/>
      <c r="L25" s="16">
        <f t="shared" si="6"/>
        <v>6520792.6633333322</v>
      </c>
      <c r="M25" s="18">
        <f t="shared" si="14"/>
        <v>51989469.786666654</v>
      </c>
      <c r="O25" s="42">
        <v>47</v>
      </c>
      <c r="P25" s="42">
        <v>1725</v>
      </c>
      <c r="Q25" s="14" t="s">
        <v>17</v>
      </c>
      <c r="R25" s="18">
        <f t="shared" si="8"/>
        <v>57710262.449999988</v>
      </c>
      <c r="S25" s="32">
        <v>0</v>
      </c>
      <c r="T25" s="18">
        <f t="shared" si="2"/>
        <v>57710262.449999988</v>
      </c>
      <c r="U25" s="18">
        <f t="shared" si="9"/>
        <v>800000</v>
      </c>
      <c r="V25" s="18">
        <f>T25+U25*6/12</f>
        <v>58110262.449999988</v>
      </c>
      <c r="W25" s="39">
        <f t="shared" si="10"/>
        <v>45</v>
      </c>
      <c r="X25" s="19">
        <f t="shared" si="12"/>
        <v>2.2222222222222223E-2</v>
      </c>
      <c r="Y25" s="18">
        <f t="shared" si="13"/>
        <v>1291339.1655555554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+'2025 RCL'!G26</f>
        <v>557479722.25999999</v>
      </c>
      <c r="E26" s="15">
        <v>0</v>
      </c>
      <c r="F26" s="15">
        <v>0</v>
      </c>
      <c r="G26" s="16">
        <f t="shared" si="4"/>
        <v>557479722.25999999</v>
      </c>
      <c r="H26" s="38">
        <f>'2026 Combined'!H26</f>
        <v>45</v>
      </c>
      <c r="I26" s="32">
        <f>+'2025 RCL'!L26</f>
        <v>31261405.986888882</v>
      </c>
      <c r="J26" s="30">
        <f t="shared" si="5"/>
        <v>12388438.272444444</v>
      </c>
      <c r="K26" s="32"/>
      <c r="L26" s="16">
        <f t="shared" si="6"/>
        <v>43649844.259333327</v>
      </c>
      <c r="M26" s="18">
        <f t="shared" si="14"/>
        <v>513829878.00066668</v>
      </c>
      <c r="O26" s="42">
        <v>47</v>
      </c>
      <c r="P26" s="42">
        <v>1730</v>
      </c>
      <c r="Q26" s="14" t="s">
        <v>18</v>
      </c>
      <c r="R26" s="18">
        <f t="shared" si="8"/>
        <v>557479722.25999999</v>
      </c>
      <c r="S26" s="32">
        <v>0</v>
      </c>
      <c r="T26" s="18">
        <f t="shared" si="2"/>
        <v>557479722.25999999</v>
      </c>
      <c r="U26" s="18">
        <f t="shared" si="9"/>
        <v>0</v>
      </c>
      <c r="V26" s="18">
        <f t="shared" si="11"/>
        <v>557479722.25999999</v>
      </c>
      <c r="W26" s="39">
        <f t="shared" si="10"/>
        <v>45</v>
      </c>
      <c r="X26" s="19">
        <f t="shared" si="12"/>
        <v>2.2222222222222223E-2</v>
      </c>
      <c r="Y26" s="18">
        <f t="shared" si="13"/>
        <v>12388438.272444444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+'2025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+'2025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si="11"/>
        <v>0</v>
      </c>
      <c r="W27" s="39">
        <f t="shared" si="10"/>
        <v>0</v>
      </c>
      <c r="X27" s="19">
        <f t="shared" si="12"/>
        <v>0</v>
      </c>
      <c r="Y27" s="18">
        <f t="shared" si="13"/>
        <v>0</v>
      </c>
    </row>
    <row r="28" spans="1:26" x14ac:dyDescent="0.2">
      <c r="A28" s="42"/>
      <c r="B28" s="42">
        <v>1740</v>
      </c>
      <c r="C28" s="14" t="s">
        <v>20</v>
      </c>
      <c r="D28" s="15">
        <f>+'2025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+'2023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>T28+U28*6/12</f>
        <v>0</v>
      </c>
      <c r="W28" s="39">
        <f t="shared" si="10"/>
        <v>0</v>
      </c>
      <c r="X28" s="19">
        <f t="shared" si="12"/>
        <v>0</v>
      </c>
      <c r="Y28" s="18">
        <f t="shared" si="13"/>
        <v>0</v>
      </c>
    </row>
    <row r="29" spans="1:26" x14ac:dyDescent="0.2">
      <c r="A29" s="42"/>
      <c r="B29" s="42">
        <v>1745</v>
      </c>
      <c r="C29" s="14" t="s">
        <v>27</v>
      </c>
      <c r="D29" s="15">
        <f>+'2023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+'2023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1"/>
        <v>0</v>
      </c>
      <c r="W29" s="39">
        <f t="shared" si="10"/>
        <v>0</v>
      </c>
      <c r="X29" s="19">
        <f t="shared" si="12"/>
        <v>0</v>
      </c>
      <c r="Y29" s="18">
        <f t="shared" si="13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5">SUM(D31:F31)</f>
        <v>0</v>
      </c>
      <c r="H31" s="38"/>
      <c r="I31" s="32"/>
      <c r="J31" s="30">
        <f t="shared" ref="J31:J45" si="16">Y31</f>
        <v>0</v>
      </c>
      <c r="K31" s="32"/>
      <c r="L31" s="16">
        <f t="shared" ref="L31:L45" si="17">SUM(I31:K31)</f>
        <v>0</v>
      </c>
      <c r="M31" s="18">
        <f t="shared" si="14"/>
        <v>0</v>
      </c>
      <c r="O31" s="42"/>
      <c r="P31" s="42">
        <v>1905</v>
      </c>
      <c r="Q31" s="14" t="s">
        <v>30</v>
      </c>
      <c r="R31" s="18">
        <f t="shared" ref="R31:R45" si="18">D31</f>
        <v>0</v>
      </c>
      <c r="S31" s="32">
        <v>0</v>
      </c>
      <c r="T31" s="18">
        <f t="shared" si="2"/>
        <v>0</v>
      </c>
      <c r="U31" s="18">
        <f t="shared" ref="U31:U45" si="19">E31</f>
        <v>0</v>
      </c>
      <c r="V31" s="18">
        <f t="shared" ref="V31:V45" si="20">T31+U31/2</f>
        <v>0</v>
      </c>
      <c r="W31" s="39">
        <f t="shared" ref="W31:W45" si="21">H31</f>
        <v>0</v>
      </c>
      <c r="X31" s="19" t="str">
        <f t="shared" ref="X31:X45" si="22">IF(H31=0,"-",1/W31)</f>
        <v>-</v>
      </c>
      <c r="Y31" s="18">
        <f t="shared" ref="Y31:Y45" si="23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5"/>
        <v>0</v>
      </c>
      <c r="H32" s="38"/>
      <c r="I32" s="32"/>
      <c r="J32" s="30">
        <f t="shared" si="16"/>
        <v>0</v>
      </c>
      <c r="K32" s="32"/>
      <c r="L32" s="16">
        <f t="shared" si="17"/>
        <v>0</v>
      </c>
      <c r="M32" s="18">
        <f t="shared" si="14"/>
        <v>0</v>
      </c>
      <c r="O32" s="42">
        <v>10.1</v>
      </c>
      <c r="P32" s="42">
        <v>1908</v>
      </c>
      <c r="Q32" s="14" t="s">
        <v>15</v>
      </c>
      <c r="R32" s="18">
        <f t="shared" si="18"/>
        <v>0</v>
      </c>
      <c r="S32" s="32">
        <v>0</v>
      </c>
      <c r="T32" s="18">
        <f t="shared" si="2"/>
        <v>0</v>
      </c>
      <c r="U32" s="18">
        <f t="shared" si="19"/>
        <v>0</v>
      </c>
      <c r="V32" s="18">
        <f t="shared" si="20"/>
        <v>0</v>
      </c>
      <c r="W32" s="39">
        <f t="shared" si="21"/>
        <v>0</v>
      </c>
      <c r="X32" s="19" t="str">
        <f t="shared" si="22"/>
        <v>-</v>
      </c>
      <c r="Y32" s="18">
        <f t="shared" si="23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5"/>
        <v>0</v>
      </c>
      <c r="H33" s="38"/>
      <c r="I33" s="32"/>
      <c r="J33" s="30">
        <f t="shared" si="16"/>
        <v>0</v>
      </c>
      <c r="K33" s="32"/>
      <c r="L33" s="16">
        <f t="shared" si="17"/>
        <v>0</v>
      </c>
      <c r="M33" s="18">
        <f t="shared" si="14"/>
        <v>0</v>
      </c>
      <c r="O33" s="42">
        <v>8</v>
      </c>
      <c r="P33" s="42">
        <v>1915</v>
      </c>
      <c r="Q33" s="14" t="s">
        <v>32</v>
      </c>
      <c r="R33" s="18">
        <f t="shared" si="18"/>
        <v>0</v>
      </c>
      <c r="S33" s="32">
        <v>0</v>
      </c>
      <c r="T33" s="18">
        <f t="shared" si="2"/>
        <v>0</v>
      </c>
      <c r="U33" s="18">
        <f t="shared" si="19"/>
        <v>0</v>
      </c>
      <c r="V33" s="18">
        <f t="shared" si="20"/>
        <v>0</v>
      </c>
      <c r="W33" s="39">
        <f t="shared" si="21"/>
        <v>0</v>
      </c>
      <c r="X33" s="19" t="str">
        <f t="shared" si="22"/>
        <v>-</v>
      </c>
      <c r="Y33" s="18">
        <f t="shared" si="23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5"/>
        <v>0</v>
      </c>
      <c r="H34" s="38"/>
      <c r="I34" s="32"/>
      <c r="J34" s="30">
        <f t="shared" si="16"/>
        <v>0</v>
      </c>
      <c r="K34" s="32"/>
      <c r="L34" s="16">
        <f t="shared" si="17"/>
        <v>0</v>
      </c>
      <c r="M34" s="18">
        <f t="shared" si="14"/>
        <v>0</v>
      </c>
      <c r="O34" s="42"/>
      <c r="P34" s="42">
        <v>1920</v>
      </c>
      <c r="Q34" s="14" t="s">
        <v>33</v>
      </c>
      <c r="R34" s="18">
        <f t="shared" si="18"/>
        <v>0</v>
      </c>
      <c r="S34" s="32">
        <v>0</v>
      </c>
      <c r="T34" s="18">
        <f t="shared" si="2"/>
        <v>0</v>
      </c>
      <c r="U34" s="18">
        <f t="shared" si="19"/>
        <v>0</v>
      </c>
      <c r="V34" s="18">
        <f t="shared" si="20"/>
        <v>0</v>
      </c>
      <c r="W34" s="39">
        <f t="shared" si="21"/>
        <v>0</v>
      </c>
      <c r="X34" s="19" t="str">
        <f t="shared" si="22"/>
        <v>-</v>
      </c>
      <c r="Y34" s="18">
        <f t="shared" si="23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5"/>
        <v>0</v>
      </c>
      <c r="H35" s="38"/>
      <c r="I35" s="32"/>
      <c r="J35" s="30">
        <f t="shared" si="16"/>
        <v>0</v>
      </c>
      <c r="K35" s="32"/>
      <c r="L35" s="16">
        <f t="shared" si="17"/>
        <v>0</v>
      </c>
      <c r="M35" s="18">
        <f t="shared" si="14"/>
        <v>0</v>
      </c>
      <c r="O35" s="42">
        <v>10.1</v>
      </c>
      <c r="P35" s="42">
        <v>1930</v>
      </c>
      <c r="Q35" s="14" t="s">
        <v>34</v>
      </c>
      <c r="R35" s="18">
        <f t="shared" si="18"/>
        <v>0</v>
      </c>
      <c r="S35" s="32">
        <v>0</v>
      </c>
      <c r="T35" s="18">
        <f t="shared" si="2"/>
        <v>0</v>
      </c>
      <c r="U35" s="18">
        <f t="shared" si="19"/>
        <v>0</v>
      </c>
      <c r="V35" s="18">
        <f t="shared" si="20"/>
        <v>0</v>
      </c>
      <c r="W35" s="39">
        <f t="shared" si="21"/>
        <v>0</v>
      </c>
      <c r="X35" s="19" t="str">
        <f t="shared" si="22"/>
        <v>-</v>
      </c>
      <c r="Y35" s="18">
        <f t="shared" si="23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5"/>
        <v>0</v>
      </c>
      <c r="H36" s="38"/>
      <c r="I36" s="32"/>
      <c r="J36" s="30">
        <f t="shared" si="16"/>
        <v>0</v>
      </c>
      <c r="K36" s="32"/>
      <c r="L36" s="16">
        <f t="shared" si="17"/>
        <v>0</v>
      </c>
      <c r="M36" s="18">
        <f t="shared" si="14"/>
        <v>0</v>
      </c>
      <c r="O36" s="42"/>
      <c r="P36" s="42">
        <v>1935</v>
      </c>
      <c r="Q36" s="14" t="s">
        <v>35</v>
      </c>
      <c r="R36" s="18">
        <f t="shared" si="18"/>
        <v>0</v>
      </c>
      <c r="S36" s="32">
        <v>0</v>
      </c>
      <c r="T36" s="18">
        <f t="shared" si="2"/>
        <v>0</v>
      </c>
      <c r="U36" s="18">
        <f t="shared" si="19"/>
        <v>0</v>
      </c>
      <c r="V36" s="18">
        <f t="shared" si="20"/>
        <v>0</v>
      </c>
      <c r="W36" s="39">
        <f t="shared" si="21"/>
        <v>0</v>
      </c>
      <c r="X36" s="19" t="str">
        <f t="shared" si="22"/>
        <v>-</v>
      </c>
      <c r="Y36" s="18">
        <f t="shared" si="23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5"/>
        <v>0</v>
      </c>
      <c r="H37" s="38"/>
      <c r="I37" s="32"/>
      <c r="J37" s="30">
        <f t="shared" si="16"/>
        <v>0</v>
      </c>
      <c r="K37" s="32"/>
      <c r="L37" s="16">
        <f t="shared" si="17"/>
        <v>0</v>
      </c>
      <c r="M37" s="18">
        <f t="shared" si="14"/>
        <v>0</v>
      </c>
      <c r="O37" s="42"/>
      <c r="P37" s="42">
        <v>1940</v>
      </c>
      <c r="Q37" s="14" t="s">
        <v>39</v>
      </c>
      <c r="R37" s="18">
        <f t="shared" si="18"/>
        <v>0</v>
      </c>
      <c r="S37" s="32">
        <v>0</v>
      </c>
      <c r="T37" s="18">
        <f t="shared" si="2"/>
        <v>0</v>
      </c>
      <c r="U37" s="18">
        <f t="shared" si="19"/>
        <v>0</v>
      </c>
      <c r="V37" s="18">
        <f t="shared" si="20"/>
        <v>0</v>
      </c>
      <c r="W37" s="39">
        <f t="shared" si="21"/>
        <v>0</v>
      </c>
      <c r="X37" s="19" t="str">
        <f t="shared" si="22"/>
        <v>-</v>
      </c>
      <c r="Y37" s="18">
        <f t="shared" si="23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5"/>
        <v>0</v>
      </c>
      <c r="H38" s="38"/>
      <c r="I38" s="32"/>
      <c r="J38" s="30">
        <f t="shared" si="16"/>
        <v>0</v>
      </c>
      <c r="K38" s="32"/>
      <c r="L38" s="16">
        <f t="shared" si="17"/>
        <v>0</v>
      </c>
      <c r="M38" s="18">
        <f t="shared" si="14"/>
        <v>0</v>
      </c>
      <c r="O38" s="42"/>
      <c r="P38" s="42">
        <v>1945</v>
      </c>
      <c r="Q38" s="14" t="s">
        <v>40</v>
      </c>
      <c r="R38" s="18">
        <f t="shared" si="18"/>
        <v>0</v>
      </c>
      <c r="S38" s="32">
        <v>0</v>
      </c>
      <c r="T38" s="18">
        <f t="shared" si="2"/>
        <v>0</v>
      </c>
      <c r="U38" s="18">
        <f t="shared" si="19"/>
        <v>0</v>
      </c>
      <c r="V38" s="18">
        <f t="shared" si="20"/>
        <v>0</v>
      </c>
      <c r="W38" s="39">
        <f t="shared" si="21"/>
        <v>0</v>
      </c>
      <c r="X38" s="19" t="str">
        <f t="shared" si="22"/>
        <v>-</v>
      </c>
      <c r="Y38" s="18">
        <f t="shared" si="23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5"/>
        <v>0</v>
      </c>
      <c r="H39" s="38"/>
      <c r="I39" s="32"/>
      <c r="J39" s="30">
        <f t="shared" si="16"/>
        <v>0</v>
      </c>
      <c r="K39" s="32"/>
      <c r="L39" s="16">
        <f t="shared" si="17"/>
        <v>0</v>
      </c>
      <c r="M39" s="18">
        <f t="shared" si="14"/>
        <v>0</v>
      </c>
      <c r="O39" s="42"/>
      <c r="P39" s="42">
        <v>1950</v>
      </c>
      <c r="Q39" s="14" t="s">
        <v>41</v>
      </c>
      <c r="R39" s="18">
        <f t="shared" si="18"/>
        <v>0</v>
      </c>
      <c r="S39" s="32">
        <v>0</v>
      </c>
      <c r="T39" s="18">
        <f t="shared" si="2"/>
        <v>0</v>
      </c>
      <c r="U39" s="18">
        <f t="shared" si="19"/>
        <v>0</v>
      </c>
      <c r="V39" s="18">
        <f t="shared" si="20"/>
        <v>0</v>
      </c>
      <c r="W39" s="39">
        <f t="shared" si="21"/>
        <v>0</v>
      </c>
      <c r="X39" s="19" t="str">
        <f t="shared" si="22"/>
        <v>-</v>
      </c>
      <c r="Y39" s="18">
        <f t="shared" si="23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5"/>
        <v>0</v>
      </c>
      <c r="H40" s="38"/>
      <c r="I40" s="32"/>
      <c r="J40" s="30">
        <f t="shared" si="16"/>
        <v>0</v>
      </c>
      <c r="K40" s="32"/>
      <c r="L40" s="16">
        <f t="shared" si="17"/>
        <v>0</v>
      </c>
      <c r="M40" s="18">
        <f t="shared" si="14"/>
        <v>0</v>
      </c>
      <c r="O40" s="42"/>
      <c r="P40" s="42">
        <v>1955</v>
      </c>
      <c r="Q40" s="14" t="s">
        <v>42</v>
      </c>
      <c r="R40" s="18">
        <f t="shared" si="18"/>
        <v>0</v>
      </c>
      <c r="S40" s="32">
        <v>0</v>
      </c>
      <c r="T40" s="18">
        <f t="shared" si="2"/>
        <v>0</v>
      </c>
      <c r="U40" s="18">
        <f t="shared" si="19"/>
        <v>0</v>
      </c>
      <c r="V40" s="18">
        <f t="shared" si="20"/>
        <v>0</v>
      </c>
      <c r="W40" s="39">
        <f t="shared" si="21"/>
        <v>0</v>
      </c>
      <c r="X40" s="19" t="str">
        <f t="shared" si="22"/>
        <v>-</v>
      </c>
      <c r="Y40" s="18">
        <f t="shared" si="23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5"/>
        <v>0</v>
      </c>
      <c r="H41" s="38"/>
      <c r="I41" s="32"/>
      <c r="J41" s="30">
        <f t="shared" si="16"/>
        <v>0</v>
      </c>
      <c r="K41" s="32"/>
      <c r="L41" s="16">
        <f t="shared" si="17"/>
        <v>0</v>
      </c>
      <c r="M41" s="18">
        <f t="shared" si="14"/>
        <v>0</v>
      </c>
      <c r="O41" s="42"/>
      <c r="P41" s="42">
        <v>1960</v>
      </c>
      <c r="Q41" s="14" t="s">
        <v>43</v>
      </c>
      <c r="R41" s="18">
        <f t="shared" si="18"/>
        <v>0</v>
      </c>
      <c r="S41" s="32">
        <v>0</v>
      </c>
      <c r="T41" s="18">
        <f t="shared" si="2"/>
        <v>0</v>
      </c>
      <c r="U41" s="18">
        <f t="shared" si="19"/>
        <v>0</v>
      </c>
      <c r="V41" s="18">
        <f t="shared" si="20"/>
        <v>0</v>
      </c>
      <c r="W41" s="39">
        <f t="shared" si="21"/>
        <v>0</v>
      </c>
      <c r="X41" s="19" t="str">
        <f t="shared" si="22"/>
        <v>-</v>
      </c>
      <c r="Y41" s="18">
        <f t="shared" si="23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5"/>
        <v>0</v>
      </c>
      <c r="H42" s="38"/>
      <c r="I42" s="32"/>
      <c r="J42" s="30">
        <f t="shared" si="16"/>
        <v>0</v>
      </c>
      <c r="K42" s="32"/>
      <c r="L42" s="16">
        <f t="shared" si="17"/>
        <v>0</v>
      </c>
      <c r="M42" s="18">
        <f t="shared" si="14"/>
        <v>0</v>
      </c>
      <c r="O42" s="42"/>
      <c r="P42" s="42">
        <v>1980</v>
      </c>
      <c r="Q42" s="14" t="s">
        <v>44</v>
      </c>
      <c r="R42" s="18">
        <f t="shared" si="18"/>
        <v>0</v>
      </c>
      <c r="S42" s="32">
        <v>0</v>
      </c>
      <c r="T42" s="18">
        <f t="shared" si="2"/>
        <v>0</v>
      </c>
      <c r="U42" s="18">
        <f t="shared" si="19"/>
        <v>0</v>
      </c>
      <c r="V42" s="18">
        <f t="shared" si="20"/>
        <v>0</v>
      </c>
      <c r="W42" s="39">
        <f t="shared" si="21"/>
        <v>0</v>
      </c>
      <c r="X42" s="19" t="str">
        <f t="shared" si="22"/>
        <v>-</v>
      </c>
      <c r="Y42" s="18">
        <f t="shared" si="23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5"/>
        <v>0</v>
      </c>
      <c r="H43" s="38"/>
      <c r="I43" s="32"/>
      <c r="J43" s="30">
        <f t="shared" si="16"/>
        <v>0</v>
      </c>
      <c r="K43" s="32"/>
      <c r="L43" s="16">
        <f t="shared" si="17"/>
        <v>0</v>
      </c>
      <c r="M43" s="18">
        <f t="shared" si="14"/>
        <v>0</v>
      </c>
      <c r="O43" s="42"/>
      <c r="P43" s="42">
        <v>1995</v>
      </c>
      <c r="Q43" s="14" t="s">
        <v>12</v>
      </c>
      <c r="R43" s="18">
        <f t="shared" si="18"/>
        <v>0</v>
      </c>
      <c r="S43" s="32">
        <v>0</v>
      </c>
      <c r="T43" s="18">
        <f t="shared" si="2"/>
        <v>0</v>
      </c>
      <c r="U43" s="18">
        <f t="shared" si="19"/>
        <v>0</v>
      </c>
      <c r="V43" s="18">
        <f t="shared" si="20"/>
        <v>0</v>
      </c>
      <c r="W43" s="39">
        <f t="shared" si="21"/>
        <v>0</v>
      </c>
      <c r="X43" s="19" t="str">
        <f t="shared" si="22"/>
        <v>-</v>
      </c>
      <c r="Y43" s="18">
        <f t="shared" si="23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5"/>
        <v>0</v>
      </c>
      <c r="H44" s="38"/>
      <c r="I44" s="32"/>
      <c r="J44" s="30">
        <f t="shared" si="16"/>
        <v>0</v>
      </c>
      <c r="K44" s="32"/>
      <c r="L44" s="16">
        <f t="shared" si="17"/>
        <v>0</v>
      </c>
      <c r="M44" s="18">
        <f t="shared" si="14"/>
        <v>0</v>
      </c>
      <c r="O44" s="43"/>
      <c r="P44" s="43">
        <v>2440</v>
      </c>
      <c r="Q44" s="40" t="s">
        <v>57</v>
      </c>
      <c r="R44" s="18">
        <f t="shared" si="18"/>
        <v>0</v>
      </c>
      <c r="S44" s="32">
        <v>0</v>
      </c>
      <c r="T44" s="18">
        <f t="shared" si="2"/>
        <v>0</v>
      </c>
      <c r="U44" s="18">
        <f t="shared" si="19"/>
        <v>0</v>
      </c>
      <c r="V44" s="18">
        <f t="shared" si="20"/>
        <v>0</v>
      </c>
      <c r="W44" s="39">
        <f t="shared" si="21"/>
        <v>0</v>
      </c>
      <c r="X44" s="19" t="str">
        <f t="shared" si="22"/>
        <v>-</v>
      </c>
      <c r="Y44" s="18">
        <f t="shared" si="23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5"/>
        <v>0</v>
      </c>
      <c r="H45" s="38"/>
      <c r="I45" s="32"/>
      <c r="J45" s="30">
        <f t="shared" si="16"/>
        <v>0</v>
      </c>
      <c r="K45" s="32"/>
      <c r="L45" s="16">
        <f t="shared" si="17"/>
        <v>0</v>
      </c>
      <c r="M45" s="18">
        <f t="shared" si="14"/>
        <v>0</v>
      </c>
      <c r="N45" s="21"/>
      <c r="O45" s="42"/>
      <c r="P45" s="42"/>
      <c r="Q45" s="14"/>
      <c r="R45" s="18">
        <f t="shared" si="18"/>
        <v>0</v>
      </c>
      <c r="S45" s="32">
        <v>0</v>
      </c>
      <c r="T45" s="18">
        <f t="shared" si="2"/>
        <v>0</v>
      </c>
      <c r="U45" s="18">
        <f t="shared" si="19"/>
        <v>0</v>
      </c>
      <c r="V45" s="18">
        <f t="shared" si="20"/>
        <v>0</v>
      </c>
      <c r="W45" s="39">
        <f t="shared" si="21"/>
        <v>0</v>
      </c>
      <c r="X45" s="19" t="str">
        <f t="shared" si="22"/>
        <v>-</v>
      </c>
      <c r="Y45" s="18">
        <f t="shared" si="23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1486207342.0299997</v>
      </c>
      <c r="E46" s="22">
        <f>SUM(E12:E15,E17:E29,E31:E45)</f>
        <v>800000</v>
      </c>
      <c r="F46" s="22">
        <f>SUM(F12:F15,F17:F29,F31:F45)</f>
        <v>0</v>
      </c>
      <c r="G46" s="22">
        <f>SUM(G12:G15,G17:G29,G31:G45)</f>
        <v>1487007342.0299997</v>
      </c>
      <c r="H46" s="33"/>
      <c r="I46" s="22">
        <f>SUM(I12:I15,I17:I29,I31:I45)</f>
        <v>74430902.849283323</v>
      </c>
      <c r="J46" s="22">
        <f>SUM(J12:J15,J17:J29,J31:J45)</f>
        <v>29966902.882616661</v>
      </c>
      <c r="K46" s="22">
        <f>SUM(K12:K15,K17:K29,K31:K45)</f>
        <v>0</v>
      </c>
      <c r="L46" s="22">
        <f>SUM(L12:L15,L17:L29,L31:L45)</f>
        <v>104397805.73189998</v>
      </c>
      <c r="M46" s="22">
        <f>SUM(M12:M15,M17:M29,M31:M45)</f>
        <v>1382609536.2980998</v>
      </c>
      <c r="N46" s="23"/>
      <c r="O46" s="44"/>
      <c r="P46" s="44"/>
      <c r="Q46" s="20" t="s">
        <v>77</v>
      </c>
      <c r="R46" s="22">
        <f>SUM(R12:R15,R17:R29,R31:R45)</f>
        <v>1486207342.0299997</v>
      </c>
      <c r="S46" s="22">
        <f>SUM(S12:S15,S17:S29,S31:S45)</f>
        <v>0</v>
      </c>
      <c r="T46" s="22">
        <f>SUM(T12:T15,T17:T29,T31:T45)</f>
        <v>1486207342.0299997</v>
      </c>
      <c r="U46" s="22">
        <f>SUM(U12:U15,U17:U29,U31:U45)</f>
        <v>800000</v>
      </c>
      <c r="V46" s="22">
        <f>SUM(V12:V15,V17:V29,V31:V45)</f>
        <v>1486607342.0299997</v>
      </c>
      <c r="W46" s="24"/>
      <c r="X46" s="24"/>
      <c r="Y46" s="22">
        <f>SUM(Y12:Y15,Y17:Y29,Y31:Y44)</f>
        <v>29966902.882616661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4">SUM(D47:F47)</f>
        <v>0</v>
      </c>
      <c r="H47" s="33"/>
      <c r="I47" s="32"/>
      <c r="J47" s="32"/>
      <c r="K47" s="32"/>
      <c r="L47" s="16">
        <f t="shared" ref="L47:L48" si="25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4"/>
        <v>0</v>
      </c>
      <c r="H48" s="33"/>
      <c r="I48" s="32"/>
      <c r="J48" s="32"/>
      <c r="K48" s="32"/>
      <c r="L48" s="16">
        <f t="shared" si="25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1486207342.0299997</v>
      </c>
      <c r="E49" s="16">
        <f>SUM(E46:E48)</f>
        <v>800000</v>
      </c>
      <c r="F49" s="16">
        <f>SUM(F46:F48)</f>
        <v>0</v>
      </c>
      <c r="G49" s="16">
        <f>SUM(G46:G48)</f>
        <v>1487007342.0299997</v>
      </c>
      <c r="H49" s="33"/>
      <c r="I49" s="16">
        <f>SUM(I46:I48)</f>
        <v>74430902.849283323</v>
      </c>
      <c r="J49" s="16">
        <f>SUM(J46:J48)</f>
        <v>29966902.882616661</v>
      </c>
      <c r="K49" s="16">
        <f>SUM(K46:K48)</f>
        <v>0</v>
      </c>
      <c r="L49" s="16">
        <f>SUM(L46:L48)</f>
        <v>104397805.73189998</v>
      </c>
      <c r="M49" s="16">
        <f>SUM(M46:M48)</f>
        <v>1382609536.2980998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29966902.882616661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29966902.882616661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&amp;REB-2025-0192</oddHeader>
    <oddFooter>&amp;L&amp;"Times New Roman,Regular"&amp;8 53141182.2</oddFooter>
  </headerFooter>
  <colBreaks count="1" manualBreakCount="1">
    <brk id="9" max="5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544F-7ABB-4546-8721-1CE029E71B25}">
  <sheetPr>
    <tabColor theme="9"/>
  </sheetPr>
  <dimension ref="B1:AA202"/>
  <sheetViews>
    <sheetView workbookViewId="0">
      <selection activeCell="J46" sqref="J46"/>
    </sheetView>
  </sheetViews>
  <sheetFormatPr defaultColWidth="9.140625" defaultRowHeight="15" x14ac:dyDescent="0.25"/>
  <cols>
    <col min="1" max="1" width="9.140625" style="51"/>
    <col min="2" max="2" width="46.5703125" style="51" bestFit="1" customWidth="1"/>
    <col min="3" max="3" width="23.7109375" style="51" customWidth="1"/>
    <col min="4" max="4" width="26" style="51" customWidth="1"/>
    <col min="5" max="6" width="17.85546875" style="51" customWidth="1"/>
    <col min="7" max="7" width="4.7109375" style="51" customWidth="1"/>
    <col min="8" max="8" width="9.140625" style="51"/>
    <col min="9" max="9" width="16.28515625" style="51" bestFit="1" customWidth="1"/>
    <col min="10" max="10" width="10.140625" style="54" bestFit="1" customWidth="1"/>
    <col min="11" max="12" width="9.140625" style="54"/>
    <col min="13" max="13" width="9.85546875" style="54" bestFit="1" customWidth="1"/>
    <col min="14" max="17" width="9.140625" style="54"/>
    <col min="18" max="20" width="9.5703125" style="54" bestFit="1" customWidth="1"/>
    <col min="21" max="21" width="10" style="54" customWidth="1"/>
    <col min="22" max="22" width="9.140625" style="54"/>
    <col min="23" max="23" width="10.5703125" style="52" customWidth="1"/>
    <col min="24" max="25" width="9.140625" style="51"/>
    <col min="26" max="26" width="16.5703125" style="51" bestFit="1" customWidth="1"/>
    <col min="27" max="27" width="17.5703125" style="51" bestFit="1" customWidth="1"/>
    <col min="28" max="16384" width="9.140625" style="51"/>
  </cols>
  <sheetData>
    <row r="1" spans="2:22" x14ac:dyDescent="0.25">
      <c r="B1" s="97" t="s">
        <v>91</v>
      </c>
      <c r="C1" s="97"/>
      <c r="D1" s="97"/>
      <c r="E1" s="97"/>
      <c r="F1" s="97"/>
      <c r="H1" s="97" t="s">
        <v>92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4" spans="2:22" x14ac:dyDescent="0.25">
      <c r="B4" s="53" t="s">
        <v>93</v>
      </c>
      <c r="H4" s="53" t="s">
        <v>94</v>
      </c>
    </row>
    <row r="6" spans="2:22" ht="42.75" x14ac:dyDescent="0.25">
      <c r="B6" s="55" t="s">
        <v>95</v>
      </c>
      <c r="C6" s="56" t="s">
        <v>96</v>
      </c>
      <c r="D6" s="56" t="s">
        <v>97</v>
      </c>
      <c r="E6" s="57" t="s">
        <v>77</v>
      </c>
      <c r="F6" s="58"/>
      <c r="H6" s="94"/>
      <c r="I6" s="96"/>
      <c r="J6" s="59" t="s">
        <v>98</v>
      </c>
      <c r="K6" s="59" t="s">
        <v>99</v>
      </c>
      <c r="L6" s="59" t="s">
        <v>100</v>
      </c>
      <c r="M6" s="59" t="s">
        <v>101</v>
      </c>
      <c r="N6" s="59" t="s">
        <v>102</v>
      </c>
      <c r="O6" s="59" t="s">
        <v>103</v>
      </c>
      <c r="P6" s="59" t="s">
        <v>104</v>
      </c>
      <c r="Q6" s="59" t="s">
        <v>105</v>
      </c>
      <c r="R6" s="59" t="s">
        <v>106</v>
      </c>
      <c r="S6" s="59" t="s">
        <v>107</v>
      </c>
      <c r="T6" s="59" t="s">
        <v>108</v>
      </c>
      <c r="U6" s="59" t="s">
        <v>109</v>
      </c>
      <c r="V6" s="59" t="s">
        <v>110</v>
      </c>
    </row>
    <row r="7" spans="2:22" x14ac:dyDescent="0.25">
      <c r="B7" s="60" t="s">
        <v>111</v>
      </c>
      <c r="C7" s="59">
        <f>U45</f>
        <v>35695.863494181751</v>
      </c>
      <c r="D7" s="59">
        <f>U87</f>
        <v>161415.37691491941</v>
      </c>
      <c r="E7" s="59">
        <f t="shared" ref="E7:E12" si="0">SUM(C7:D7)</f>
        <v>197111.24040910116</v>
      </c>
      <c r="F7" s="54"/>
      <c r="H7" s="91" t="s">
        <v>112</v>
      </c>
      <c r="I7" s="60" t="s">
        <v>113</v>
      </c>
      <c r="J7" s="59">
        <f>+J51</f>
        <v>290248.60146269493</v>
      </c>
      <c r="K7" s="59">
        <f>J9</f>
        <v>290248.60146269493</v>
      </c>
      <c r="L7" s="59">
        <f t="shared" ref="L7:U7" si="1">K9</f>
        <v>290248.60146269493</v>
      </c>
      <c r="M7" s="59">
        <f t="shared" si="1"/>
        <v>290248.60146269493</v>
      </c>
      <c r="N7" s="59">
        <f t="shared" si="1"/>
        <v>290248.60146269493</v>
      </c>
      <c r="O7" s="59">
        <f t="shared" si="1"/>
        <v>290248.60146269493</v>
      </c>
      <c r="P7" s="59">
        <f t="shared" si="1"/>
        <v>290248.60146269493</v>
      </c>
      <c r="Q7" s="59">
        <f t="shared" si="1"/>
        <v>290248.60146269493</v>
      </c>
      <c r="R7" s="59">
        <f t="shared" si="1"/>
        <v>290248.60146269493</v>
      </c>
      <c r="S7" s="59">
        <f t="shared" si="1"/>
        <v>290248.60146269493</v>
      </c>
      <c r="T7" s="59">
        <f t="shared" si="1"/>
        <v>290248.60146269493</v>
      </c>
      <c r="U7" s="59">
        <f t="shared" si="1"/>
        <v>290248.60146269493</v>
      </c>
      <c r="V7" s="59"/>
    </row>
    <row r="8" spans="2:22" x14ac:dyDescent="0.25">
      <c r="B8" s="60" t="s">
        <v>114</v>
      </c>
      <c r="C8" s="59">
        <f t="shared" ref="C8:C12" si="2">U46</f>
        <v>6241.4742871759781</v>
      </c>
      <c r="D8" s="59">
        <f t="shared" ref="D8:D12" si="3">U88</f>
        <v>13959.483321993621</v>
      </c>
      <c r="E8" s="59">
        <f t="shared" si="0"/>
        <v>20200.9576091696</v>
      </c>
      <c r="F8" s="54"/>
      <c r="H8" s="92"/>
      <c r="I8" s="60" t="s">
        <v>4</v>
      </c>
      <c r="J8" s="59">
        <f>+J59</f>
        <v>0</v>
      </c>
      <c r="K8" s="59">
        <f t="shared" ref="K8:U8" si="4">K59</f>
        <v>0</v>
      </c>
      <c r="L8" s="59">
        <f t="shared" si="4"/>
        <v>0</v>
      </c>
      <c r="M8" s="59">
        <f t="shared" si="4"/>
        <v>0</v>
      </c>
      <c r="N8" s="59">
        <f t="shared" si="4"/>
        <v>0</v>
      </c>
      <c r="O8" s="59">
        <f t="shared" si="4"/>
        <v>0</v>
      </c>
      <c r="P8" s="59">
        <f t="shared" si="4"/>
        <v>0</v>
      </c>
      <c r="Q8" s="59">
        <f t="shared" si="4"/>
        <v>0</v>
      </c>
      <c r="R8" s="59">
        <f t="shared" si="4"/>
        <v>0</v>
      </c>
      <c r="S8" s="59">
        <f t="shared" si="4"/>
        <v>0</v>
      </c>
      <c r="T8" s="59">
        <f t="shared" si="4"/>
        <v>0</v>
      </c>
      <c r="U8" s="59">
        <f t="shared" si="4"/>
        <v>0</v>
      </c>
      <c r="V8" s="59"/>
    </row>
    <row r="9" spans="2:22" x14ac:dyDescent="0.25">
      <c r="B9" s="60" t="s">
        <v>115</v>
      </c>
      <c r="C9" s="59">
        <f t="shared" si="2"/>
        <v>1492.6244277130188</v>
      </c>
      <c r="D9" s="59">
        <f t="shared" si="3"/>
        <v>6776.4133154088813</v>
      </c>
      <c r="E9" s="59">
        <f t="shared" si="0"/>
        <v>8269.0377431219003</v>
      </c>
      <c r="F9" s="54"/>
      <c r="H9" s="92"/>
      <c r="I9" s="60" t="s">
        <v>116</v>
      </c>
      <c r="J9" s="59">
        <f>SUM(J7:J8)</f>
        <v>290248.60146269493</v>
      </c>
      <c r="K9" s="59">
        <f t="shared" ref="K9:U9" si="5">SUM(K7:K8)</f>
        <v>290248.60146269493</v>
      </c>
      <c r="L9" s="59">
        <f t="shared" si="5"/>
        <v>290248.60146269493</v>
      </c>
      <c r="M9" s="59">
        <f t="shared" si="5"/>
        <v>290248.60146269493</v>
      </c>
      <c r="N9" s="59">
        <f t="shared" si="5"/>
        <v>290248.60146269493</v>
      </c>
      <c r="O9" s="59">
        <f t="shared" si="5"/>
        <v>290248.60146269493</v>
      </c>
      <c r="P9" s="59">
        <f t="shared" si="5"/>
        <v>290248.60146269493</v>
      </c>
      <c r="Q9" s="59">
        <f t="shared" si="5"/>
        <v>290248.60146269493</v>
      </c>
      <c r="R9" s="59">
        <f t="shared" si="5"/>
        <v>290248.60146269493</v>
      </c>
      <c r="S9" s="59">
        <f t="shared" si="5"/>
        <v>290248.60146269493</v>
      </c>
      <c r="T9" s="59">
        <f t="shared" si="5"/>
        <v>290248.60146269493</v>
      </c>
      <c r="U9" s="59">
        <f t="shared" si="5"/>
        <v>290248.60146269493</v>
      </c>
      <c r="V9" s="59"/>
    </row>
    <row r="10" spans="2:22" x14ac:dyDescent="0.25">
      <c r="B10" s="60" t="s">
        <v>117</v>
      </c>
      <c r="C10" s="59">
        <f t="shared" si="2"/>
        <v>113068.60055148727</v>
      </c>
      <c r="D10" s="59">
        <f t="shared" si="3"/>
        <v>241411.3679823743</v>
      </c>
      <c r="E10" s="59">
        <f t="shared" si="0"/>
        <v>354479.96853386157</v>
      </c>
      <c r="F10" s="54"/>
      <c r="H10" s="93"/>
      <c r="I10" s="60" t="s">
        <v>118</v>
      </c>
      <c r="J10" s="59">
        <f>AVERAGE(J7,J9)</f>
        <v>290248.60146269493</v>
      </c>
      <c r="K10" s="59">
        <f t="shared" ref="K10:U10" si="6">AVERAGE(K7,K9)</f>
        <v>290248.60146269493</v>
      </c>
      <c r="L10" s="59">
        <f t="shared" si="6"/>
        <v>290248.60146269493</v>
      </c>
      <c r="M10" s="59">
        <f>AVERAGE(M7,M9)</f>
        <v>290248.60146269493</v>
      </c>
      <c r="N10" s="59">
        <f t="shared" si="6"/>
        <v>290248.60146269493</v>
      </c>
      <c r="O10" s="59">
        <f t="shared" si="6"/>
        <v>290248.60146269493</v>
      </c>
      <c r="P10" s="59">
        <f t="shared" si="6"/>
        <v>290248.60146269493</v>
      </c>
      <c r="Q10" s="59">
        <f t="shared" si="6"/>
        <v>290248.60146269493</v>
      </c>
      <c r="R10" s="59">
        <f t="shared" si="6"/>
        <v>290248.60146269493</v>
      </c>
      <c r="S10" s="59">
        <f t="shared" si="6"/>
        <v>290248.60146269493</v>
      </c>
      <c r="T10" s="59">
        <f t="shared" si="6"/>
        <v>290248.60146269493</v>
      </c>
      <c r="U10" s="59">
        <f t="shared" si="6"/>
        <v>290248.60146269493</v>
      </c>
      <c r="V10" s="59">
        <f>AVERAGE(J10:U10)</f>
        <v>290248.60146269487</v>
      </c>
    </row>
    <row r="11" spans="2:22" x14ac:dyDescent="0.25">
      <c r="B11" s="60" t="s">
        <v>119</v>
      </c>
      <c r="C11" s="59">
        <f t="shared" si="2"/>
        <v>0</v>
      </c>
      <c r="D11" s="59">
        <f t="shared" si="3"/>
        <v>32785.886188253135</v>
      </c>
      <c r="E11" s="59">
        <f t="shared" si="0"/>
        <v>32785.886188253135</v>
      </c>
      <c r="F11" s="54"/>
      <c r="H11" s="94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</row>
    <row r="12" spans="2:22" x14ac:dyDescent="0.25">
      <c r="B12" s="60" t="s">
        <v>120</v>
      </c>
      <c r="C12" s="59">
        <f t="shared" si="2"/>
        <v>133750.03870213695</v>
      </c>
      <c r="D12" s="59">
        <f t="shared" si="3"/>
        <v>282941.55103610037</v>
      </c>
      <c r="E12" s="59">
        <f t="shared" si="0"/>
        <v>416691.58973823732</v>
      </c>
      <c r="F12" s="54"/>
      <c r="H12" s="91" t="s">
        <v>121</v>
      </c>
      <c r="I12" s="60" t="s">
        <v>113</v>
      </c>
      <c r="J12" s="59">
        <f>+J77</f>
        <v>390050.48520843365</v>
      </c>
      <c r="K12" s="59">
        <f>J14</f>
        <v>390050.48520843365</v>
      </c>
      <c r="L12" s="59">
        <f t="shared" ref="L12:U12" si="7">K14</f>
        <v>390050.48520843365</v>
      </c>
      <c r="M12" s="59">
        <f t="shared" si="7"/>
        <v>390050.48520843365</v>
      </c>
      <c r="N12" s="59">
        <f t="shared" si="7"/>
        <v>390050.48520843365</v>
      </c>
      <c r="O12" s="59">
        <f t="shared" si="7"/>
        <v>441848.41684274672</v>
      </c>
      <c r="P12" s="59">
        <f t="shared" si="7"/>
        <v>550787.22436125344</v>
      </c>
      <c r="Q12" s="59">
        <f t="shared" si="7"/>
        <v>698363.25895704934</v>
      </c>
      <c r="R12" s="59">
        <f t="shared" si="7"/>
        <v>739290.07875904965</v>
      </c>
      <c r="S12" s="59">
        <f t="shared" si="7"/>
        <v>739290.07875904965</v>
      </c>
      <c r="T12" s="59">
        <f t="shared" si="7"/>
        <v>739290.07875904965</v>
      </c>
      <c r="U12" s="59">
        <f t="shared" si="7"/>
        <v>739290.07875904965</v>
      </c>
      <c r="V12" s="59"/>
    </row>
    <row r="13" spans="2:22" x14ac:dyDescent="0.25">
      <c r="B13" s="55" t="s">
        <v>122</v>
      </c>
      <c r="C13" s="61">
        <f>SUM(C7:C12)</f>
        <v>290248.60146269493</v>
      </c>
      <c r="D13" s="61">
        <f>SUM(D7:D12)</f>
        <v>739290.07875904976</v>
      </c>
      <c r="E13" s="61">
        <f>SUM(E7:E12)</f>
        <v>1029538.6802217447</v>
      </c>
      <c r="F13" s="62"/>
      <c r="H13" s="92"/>
      <c r="I13" s="60" t="s">
        <v>4</v>
      </c>
      <c r="J13" s="59">
        <f>J85</f>
        <v>0</v>
      </c>
      <c r="K13" s="59">
        <f t="shared" ref="K13:U13" si="8">K85</f>
        <v>0</v>
      </c>
      <c r="L13" s="59">
        <f t="shared" si="8"/>
        <v>0</v>
      </c>
      <c r="M13" s="59">
        <f t="shared" si="8"/>
        <v>0</v>
      </c>
      <c r="N13" s="59">
        <f t="shared" si="8"/>
        <v>51797.931634313092</v>
      </c>
      <c r="O13" s="59">
        <f t="shared" si="8"/>
        <v>108938.80751850666</v>
      </c>
      <c r="P13" s="59">
        <f t="shared" si="8"/>
        <v>147576.03459579597</v>
      </c>
      <c r="Q13" s="59">
        <f t="shared" si="8"/>
        <v>40926.819802000318</v>
      </c>
      <c r="R13" s="59">
        <f t="shared" si="8"/>
        <v>0</v>
      </c>
      <c r="S13" s="59">
        <f t="shared" si="8"/>
        <v>0</v>
      </c>
      <c r="T13" s="59">
        <f t="shared" si="8"/>
        <v>0</v>
      </c>
      <c r="U13" s="59">
        <f t="shared" si="8"/>
        <v>0</v>
      </c>
      <c r="V13" s="59"/>
    </row>
    <row r="14" spans="2:22" x14ac:dyDescent="0.25">
      <c r="B14" s="60" t="s">
        <v>123</v>
      </c>
      <c r="C14" s="59">
        <f>E14*C44</f>
        <v>2004.9701588810904</v>
      </c>
      <c r="D14" s="59">
        <f>E14*D44</f>
        <v>3916.4498411189102</v>
      </c>
      <c r="E14" s="59">
        <f>U19</f>
        <v>5921.42</v>
      </c>
      <c r="F14" s="54"/>
      <c r="H14" s="92"/>
      <c r="I14" s="60" t="s">
        <v>116</v>
      </c>
      <c r="J14" s="59">
        <f t="shared" ref="J14:U14" si="9">SUM(J12:J13)</f>
        <v>390050.48520843365</v>
      </c>
      <c r="K14" s="59">
        <f t="shared" si="9"/>
        <v>390050.48520843365</v>
      </c>
      <c r="L14" s="59">
        <f t="shared" si="9"/>
        <v>390050.48520843365</v>
      </c>
      <c r="M14" s="59">
        <f t="shared" si="9"/>
        <v>390050.48520843365</v>
      </c>
      <c r="N14" s="59">
        <f t="shared" si="9"/>
        <v>441848.41684274672</v>
      </c>
      <c r="O14" s="59">
        <f t="shared" si="9"/>
        <v>550787.22436125344</v>
      </c>
      <c r="P14" s="59">
        <f t="shared" si="9"/>
        <v>698363.25895704934</v>
      </c>
      <c r="Q14" s="59">
        <f t="shared" si="9"/>
        <v>739290.07875904965</v>
      </c>
      <c r="R14" s="59">
        <f t="shared" si="9"/>
        <v>739290.07875904965</v>
      </c>
      <c r="S14" s="59">
        <f t="shared" si="9"/>
        <v>739290.07875904965</v>
      </c>
      <c r="T14" s="59">
        <f t="shared" si="9"/>
        <v>739290.07875904965</v>
      </c>
      <c r="U14" s="59">
        <f t="shared" si="9"/>
        <v>739290.07875904965</v>
      </c>
      <c r="V14" s="59"/>
    </row>
    <row r="15" spans="2:22" x14ac:dyDescent="0.25">
      <c r="B15" s="55" t="s">
        <v>77</v>
      </c>
      <c r="C15" s="61">
        <f>SUM(C13:C14)</f>
        <v>292253.57162157603</v>
      </c>
      <c r="D15" s="61">
        <f>SUM(D13:D14)</f>
        <v>743206.52860016865</v>
      </c>
      <c r="E15" s="61">
        <f>SUM(E13:E14)</f>
        <v>1035460.1002217447</v>
      </c>
      <c r="F15" s="62"/>
      <c r="H15" s="93"/>
      <c r="I15" s="60" t="s">
        <v>118</v>
      </c>
      <c r="J15" s="59">
        <f t="shared" ref="J15:U15" si="10">AVERAGE(J12,J14)</f>
        <v>390050.48520843365</v>
      </c>
      <c r="K15" s="59">
        <f t="shared" si="10"/>
        <v>390050.48520843365</v>
      </c>
      <c r="L15" s="59">
        <f t="shared" si="10"/>
        <v>390050.48520843365</v>
      </c>
      <c r="M15" s="59">
        <f t="shared" si="10"/>
        <v>390050.48520843365</v>
      </c>
      <c r="N15" s="59">
        <f t="shared" si="10"/>
        <v>415949.45102559018</v>
      </c>
      <c r="O15" s="59">
        <f t="shared" si="10"/>
        <v>496317.82060200011</v>
      </c>
      <c r="P15" s="59">
        <f t="shared" si="10"/>
        <v>624575.24165915139</v>
      </c>
      <c r="Q15" s="59">
        <f t="shared" si="10"/>
        <v>718826.66885804944</v>
      </c>
      <c r="R15" s="59">
        <f t="shared" si="10"/>
        <v>739290.07875904965</v>
      </c>
      <c r="S15" s="59">
        <f t="shared" si="10"/>
        <v>739290.07875904965</v>
      </c>
      <c r="T15" s="59">
        <f t="shared" si="10"/>
        <v>739290.07875904965</v>
      </c>
      <c r="U15" s="59">
        <f t="shared" si="10"/>
        <v>739290.07875904965</v>
      </c>
      <c r="V15" s="59">
        <f>AVERAGE(J15:U15)</f>
        <v>564419.28650122706</v>
      </c>
    </row>
    <row r="16" spans="2:22" x14ac:dyDescent="0.25"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</row>
    <row r="17" spans="2:23" x14ac:dyDescent="0.25">
      <c r="C17" s="54"/>
      <c r="D17" s="54"/>
      <c r="E17" s="54"/>
      <c r="F17" s="54"/>
      <c r="H17" s="91" t="s">
        <v>124</v>
      </c>
      <c r="I17" s="60" t="s">
        <v>113</v>
      </c>
      <c r="J17" s="59">
        <f>+J103</f>
        <v>220</v>
      </c>
      <c r="K17" s="59">
        <f>J19</f>
        <v>770</v>
      </c>
      <c r="L17" s="59">
        <f t="shared" ref="L17:U17" si="11">K19</f>
        <v>770</v>
      </c>
      <c r="M17" s="59">
        <f t="shared" si="11"/>
        <v>770</v>
      </c>
      <c r="N17" s="59">
        <f t="shared" si="11"/>
        <v>770</v>
      </c>
      <c r="O17" s="59">
        <f t="shared" si="11"/>
        <v>770</v>
      </c>
      <c r="P17" s="59">
        <f t="shared" si="11"/>
        <v>810</v>
      </c>
      <c r="Q17" s="59">
        <f t="shared" si="11"/>
        <v>810</v>
      </c>
      <c r="R17" s="59">
        <f t="shared" si="11"/>
        <v>810</v>
      </c>
      <c r="S17" s="59">
        <f t="shared" si="11"/>
        <v>810</v>
      </c>
      <c r="T17" s="59">
        <f t="shared" si="11"/>
        <v>5810</v>
      </c>
      <c r="U17" s="59">
        <f t="shared" si="11"/>
        <v>5810</v>
      </c>
      <c r="V17" s="59"/>
    </row>
    <row r="18" spans="2:23" x14ac:dyDescent="0.25">
      <c r="E18" s="52"/>
      <c r="F18" s="52"/>
      <c r="H18" s="92"/>
      <c r="I18" s="60" t="s">
        <v>4</v>
      </c>
      <c r="J18" s="59">
        <f>J111</f>
        <v>550</v>
      </c>
      <c r="K18" s="59">
        <f t="shared" ref="K18:U18" si="12">K111</f>
        <v>0</v>
      </c>
      <c r="L18" s="59">
        <f t="shared" si="12"/>
        <v>0</v>
      </c>
      <c r="M18" s="59">
        <f t="shared" si="12"/>
        <v>0</v>
      </c>
      <c r="N18" s="59">
        <f t="shared" si="12"/>
        <v>0</v>
      </c>
      <c r="O18" s="59">
        <f t="shared" si="12"/>
        <v>40</v>
      </c>
      <c r="P18" s="59">
        <f t="shared" si="12"/>
        <v>0</v>
      </c>
      <c r="Q18" s="59">
        <f t="shared" si="12"/>
        <v>0</v>
      </c>
      <c r="R18" s="59">
        <f t="shared" si="12"/>
        <v>0</v>
      </c>
      <c r="S18" s="59">
        <f t="shared" si="12"/>
        <v>5000</v>
      </c>
      <c r="T18" s="59">
        <f t="shared" si="12"/>
        <v>0</v>
      </c>
      <c r="U18" s="59">
        <f t="shared" si="12"/>
        <v>111.42</v>
      </c>
      <c r="V18" s="59"/>
    </row>
    <row r="19" spans="2:23" x14ac:dyDescent="0.25">
      <c r="H19" s="92"/>
      <c r="I19" s="60" t="s">
        <v>116</v>
      </c>
      <c r="J19" s="59">
        <f t="shared" ref="J19:U19" si="13">SUM(J17:J18)</f>
        <v>770</v>
      </c>
      <c r="K19" s="59">
        <f t="shared" si="13"/>
        <v>770</v>
      </c>
      <c r="L19" s="59">
        <f t="shared" si="13"/>
        <v>770</v>
      </c>
      <c r="M19" s="59">
        <f t="shared" si="13"/>
        <v>770</v>
      </c>
      <c r="N19" s="59">
        <f t="shared" si="13"/>
        <v>770</v>
      </c>
      <c r="O19" s="59">
        <f t="shared" si="13"/>
        <v>810</v>
      </c>
      <c r="P19" s="59">
        <f t="shared" si="13"/>
        <v>810</v>
      </c>
      <c r="Q19" s="59">
        <f t="shared" si="13"/>
        <v>810</v>
      </c>
      <c r="R19" s="59">
        <f t="shared" si="13"/>
        <v>810</v>
      </c>
      <c r="S19" s="59">
        <f t="shared" si="13"/>
        <v>5810</v>
      </c>
      <c r="T19" s="59">
        <f t="shared" si="13"/>
        <v>5810</v>
      </c>
      <c r="U19" s="59">
        <f t="shared" si="13"/>
        <v>5921.42</v>
      </c>
      <c r="V19" s="59"/>
    </row>
    <row r="20" spans="2:23" x14ac:dyDescent="0.25">
      <c r="B20" s="53" t="s">
        <v>125</v>
      </c>
      <c r="H20" s="93"/>
      <c r="I20" s="60" t="s">
        <v>118</v>
      </c>
      <c r="J20" s="59">
        <f t="shared" ref="J20:U20" si="14">AVERAGE(J17,J19)</f>
        <v>495</v>
      </c>
      <c r="K20" s="59">
        <f t="shared" si="14"/>
        <v>770</v>
      </c>
      <c r="L20" s="59">
        <f t="shared" si="14"/>
        <v>770</v>
      </c>
      <c r="M20" s="59">
        <f t="shared" si="14"/>
        <v>770</v>
      </c>
      <c r="N20" s="59">
        <f t="shared" si="14"/>
        <v>770</v>
      </c>
      <c r="O20" s="59">
        <f t="shared" si="14"/>
        <v>790</v>
      </c>
      <c r="P20" s="59">
        <f t="shared" si="14"/>
        <v>810</v>
      </c>
      <c r="Q20" s="59">
        <f t="shared" si="14"/>
        <v>810</v>
      </c>
      <c r="R20" s="59">
        <f t="shared" si="14"/>
        <v>810</v>
      </c>
      <c r="S20" s="59">
        <f t="shared" si="14"/>
        <v>3310</v>
      </c>
      <c r="T20" s="59">
        <f t="shared" si="14"/>
        <v>5810</v>
      </c>
      <c r="U20" s="59">
        <f t="shared" si="14"/>
        <v>5865.71</v>
      </c>
      <c r="V20" s="59">
        <f>AVERAGE(J20:U20)</f>
        <v>1815.0591666666667</v>
      </c>
    </row>
    <row r="21" spans="2:23" x14ac:dyDescent="0.25">
      <c r="H21" s="52"/>
    </row>
    <row r="22" spans="2:23" ht="42.75" x14ac:dyDescent="0.25">
      <c r="B22" s="55" t="s">
        <v>95</v>
      </c>
      <c r="C22" s="56" t="s">
        <v>96</v>
      </c>
      <c r="D22" s="56" t="s">
        <v>97</v>
      </c>
      <c r="E22" s="57" t="s">
        <v>77</v>
      </c>
      <c r="F22" s="58"/>
      <c r="H22" s="53" t="s">
        <v>126</v>
      </c>
    </row>
    <row r="23" spans="2:23" x14ac:dyDescent="0.25">
      <c r="B23" s="60" t="s">
        <v>111</v>
      </c>
      <c r="C23" s="59">
        <f>U142</f>
        <v>951.8896931781801</v>
      </c>
      <c r="D23" s="59">
        <f>U168</f>
        <v>2542.2625991133837</v>
      </c>
      <c r="E23" s="59">
        <f t="shared" ref="E23:E29" si="15">SUM(C23:D23)</f>
        <v>3494.1522922915638</v>
      </c>
      <c r="F23" s="54"/>
    </row>
    <row r="24" spans="2:23" x14ac:dyDescent="0.25">
      <c r="B24" s="60" t="s">
        <v>114</v>
      </c>
      <c r="C24" s="59">
        <f t="shared" ref="C24:C28" si="16">U143</f>
        <v>208.04914290586601</v>
      </c>
      <c r="D24" s="59">
        <f t="shared" ref="D24:D28" si="17">U169</f>
        <v>299.49116201965586</v>
      </c>
      <c r="E24" s="59">
        <f t="shared" si="15"/>
        <v>507.54030492552187</v>
      </c>
      <c r="F24" s="54"/>
      <c r="H24" s="94"/>
      <c r="I24" s="96"/>
      <c r="J24" s="59" t="s">
        <v>98</v>
      </c>
      <c r="K24" s="59" t="s">
        <v>99</v>
      </c>
      <c r="L24" s="59" t="s">
        <v>100</v>
      </c>
      <c r="M24" s="59" t="s">
        <v>101</v>
      </c>
      <c r="N24" s="59" t="s">
        <v>102</v>
      </c>
      <c r="O24" s="59" t="s">
        <v>103</v>
      </c>
      <c r="P24" s="59" t="s">
        <v>104</v>
      </c>
      <c r="Q24" s="59" t="s">
        <v>105</v>
      </c>
      <c r="R24" s="59" t="s">
        <v>106</v>
      </c>
      <c r="S24" s="59" t="s">
        <v>107</v>
      </c>
      <c r="T24" s="59" t="s">
        <v>108</v>
      </c>
      <c r="U24" s="59" t="s">
        <v>109</v>
      </c>
      <c r="V24" s="59" t="s">
        <v>110</v>
      </c>
      <c r="W24" s="63" t="s">
        <v>77</v>
      </c>
    </row>
    <row r="25" spans="2:23" x14ac:dyDescent="0.25">
      <c r="B25" s="60" t="s">
        <v>115</v>
      </c>
      <c r="C25" s="59">
        <f t="shared" si="16"/>
        <v>99.508295180867904</v>
      </c>
      <c r="D25" s="59">
        <f t="shared" si="17"/>
        <v>271.53028716108201</v>
      </c>
      <c r="E25" s="59">
        <f t="shared" si="15"/>
        <v>371.0385823419499</v>
      </c>
      <c r="F25" s="54"/>
      <c r="H25" s="91" t="s">
        <v>112</v>
      </c>
      <c r="I25" s="60" t="s">
        <v>113</v>
      </c>
      <c r="J25" s="59">
        <f>+J132</f>
        <v>1933.7617021921724</v>
      </c>
      <c r="K25" s="59">
        <f t="shared" ref="K25:U25" si="18">J27</f>
        <v>2417.2021277402155</v>
      </c>
      <c r="L25" s="59">
        <f t="shared" si="18"/>
        <v>2900.6425532882586</v>
      </c>
      <c r="M25" s="59">
        <f t="shared" si="18"/>
        <v>3384.0829788363017</v>
      </c>
      <c r="N25" s="59">
        <f t="shared" si="18"/>
        <v>3867.5234043843448</v>
      </c>
      <c r="O25" s="59">
        <f t="shared" si="18"/>
        <v>4350.9638299323879</v>
      </c>
      <c r="P25" s="59">
        <f t="shared" si="18"/>
        <v>4834.4042554804309</v>
      </c>
      <c r="Q25" s="59">
        <f t="shared" si="18"/>
        <v>5317.844681028474</v>
      </c>
      <c r="R25" s="59">
        <f t="shared" si="18"/>
        <v>5801.2851065765171</v>
      </c>
      <c r="S25" s="59">
        <f t="shared" si="18"/>
        <v>6284.7255321245602</v>
      </c>
      <c r="T25" s="59">
        <f t="shared" si="18"/>
        <v>6768.1659576726033</v>
      </c>
      <c r="U25" s="59">
        <f t="shared" si="18"/>
        <v>7251.6063832206464</v>
      </c>
      <c r="V25" s="59"/>
      <c r="W25" s="63"/>
    </row>
    <row r="26" spans="2:23" x14ac:dyDescent="0.25">
      <c r="B26" s="60" t="s">
        <v>117</v>
      </c>
      <c r="C26" s="59">
        <f t="shared" si="16"/>
        <v>2512.6355678108293</v>
      </c>
      <c r="D26" s="59">
        <f t="shared" si="17"/>
        <v>3835.3097314222468</v>
      </c>
      <c r="E26" s="59">
        <f t="shared" si="15"/>
        <v>6347.9452992330762</v>
      </c>
      <c r="F26" s="54"/>
      <c r="H26" s="92"/>
      <c r="I26" s="60" t="s">
        <v>4</v>
      </c>
      <c r="J26" s="59">
        <f>J140</f>
        <v>483.44042554804309</v>
      </c>
      <c r="K26" s="59">
        <f t="shared" ref="K26:U26" si="19">K140</f>
        <v>483.44042554804309</v>
      </c>
      <c r="L26" s="59">
        <f t="shared" si="19"/>
        <v>483.44042554804309</v>
      </c>
      <c r="M26" s="59">
        <f t="shared" si="19"/>
        <v>483.44042554804309</v>
      </c>
      <c r="N26" s="59">
        <f t="shared" si="19"/>
        <v>483.44042554804309</v>
      </c>
      <c r="O26" s="59">
        <f t="shared" si="19"/>
        <v>483.44042554804309</v>
      </c>
      <c r="P26" s="59">
        <f t="shared" si="19"/>
        <v>483.44042554804309</v>
      </c>
      <c r="Q26" s="59">
        <f t="shared" si="19"/>
        <v>483.44042554804309</v>
      </c>
      <c r="R26" s="59">
        <f t="shared" si="19"/>
        <v>483.44042554804309</v>
      </c>
      <c r="S26" s="59">
        <f t="shared" si="19"/>
        <v>483.44042554804309</v>
      </c>
      <c r="T26" s="59">
        <f t="shared" si="19"/>
        <v>483.44042554804309</v>
      </c>
      <c r="U26" s="59">
        <f t="shared" si="19"/>
        <v>483.44042554804309</v>
      </c>
      <c r="V26" s="59"/>
      <c r="W26" s="59">
        <f>SUM(J26:U26)</f>
        <v>5801.2851065765171</v>
      </c>
    </row>
    <row r="27" spans="2:23" x14ac:dyDescent="0.25">
      <c r="B27" s="60" t="s">
        <v>119</v>
      </c>
      <c r="C27" s="59">
        <f t="shared" si="16"/>
        <v>0</v>
      </c>
      <c r="D27" s="59">
        <f t="shared" si="17"/>
        <v>383.89821772058633</v>
      </c>
      <c r="E27" s="59">
        <f t="shared" si="15"/>
        <v>383.89821772058633</v>
      </c>
      <c r="F27" s="54"/>
      <c r="H27" s="92"/>
      <c r="I27" s="60" t="s">
        <v>116</v>
      </c>
      <c r="J27" s="59">
        <f t="shared" ref="J27:U27" si="20">SUM(J25:J26)</f>
        <v>2417.2021277402155</v>
      </c>
      <c r="K27" s="59">
        <f t="shared" si="20"/>
        <v>2900.6425532882586</v>
      </c>
      <c r="L27" s="59">
        <f t="shared" si="20"/>
        <v>3384.0829788363017</v>
      </c>
      <c r="M27" s="59">
        <f t="shared" si="20"/>
        <v>3867.5234043843448</v>
      </c>
      <c r="N27" s="59">
        <f t="shared" si="20"/>
        <v>4350.9638299323879</v>
      </c>
      <c r="O27" s="59">
        <f t="shared" si="20"/>
        <v>4834.4042554804309</v>
      </c>
      <c r="P27" s="59">
        <f t="shared" si="20"/>
        <v>5317.844681028474</v>
      </c>
      <c r="Q27" s="59">
        <f t="shared" si="20"/>
        <v>5801.2851065765171</v>
      </c>
      <c r="R27" s="59">
        <f t="shared" si="20"/>
        <v>6284.7255321245602</v>
      </c>
      <c r="S27" s="59">
        <f t="shared" si="20"/>
        <v>6768.1659576726033</v>
      </c>
      <c r="T27" s="59">
        <f t="shared" si="20"/>
        <v>7251.6063832206464</v>
      </c>
      <c r="U27" s="59">
        <f t="shared" si="20"/>
        <v>7735.0468087686895</v>
      </c>
      <c r="V27" s="59"/>
      <c r="W27" s="63"/>
    </row>
    <row r="28" spans="2:23" x14ac:dyDescent="0.25">
      <c r="B28" s="60" t="s">
        <v>120</v>
      </c>
      <c r="C28" s="59">
        <f t="shared" si="16"/>
        <v>3962.9641096929477</v>
      </c>
      <c r="D28" s="59">
        <f t="shared" si="17"/>
        <v>5975.550923767516</v>
      </c>
      <c r="E28" s="59">
        <f t="shared" si="15"/>
        <v>9938.5150334604641</v>
      </c>
      <c r="F28" s="54"/>
      <c r="H28" s="93"/>
      <c r="I28" s="60" t="s">
        <v>118</v>
      </c>
      <c r="J28" s="59">
        <f>AVERAGE(J25,J27)</f>
        <v>2175.4819149661939</v>
      </c>
      <c r="K28" s="59">
        <f t="shared" ref="K28:U28" si="21">AVERAGE(K25,K27)</f>
        <v>2658.922340514237</v>
      </c>
      <c r="L28" s="59">
        <f t="shared" si="21"/>
        <v>3142.3627660622801</v>
      </c>
      <c r="M28" s="59">
        <f t="shared" si="21"/>
        <v>3625.8031916103232</v>
      </c>
      <c r="N28" s="59">
        <f t="shared" si="21"/>
        <v>4109.2436171583668</v>
      </c>
      <c r="O28" s="59">
        <f t="shared" si="21"/>
        <v>4592.6840427064089</v>
      </c>
      <c r="P28" s="59">
        <f t="shared" si="21"/>
        <v>5076.1244682544529</v>
      </c>
      <c r="Q28" s="59">
        <f t="shared" si="21"/>
        <v>5559.5648938024951</v>
      </c>
      <c r="R28" s="59">
        <f t="shared" si="21"/>
        <v>6043.0053193505391</v>
      </c>
      <c r="S28" s="59">
        <f t="shared" si="21"/>
        <v>6526.4457448985813</v>
      </c>
      <c r="T28" s="59">
        <f t="shared" si="21"/>
        <v>7009.8861704466253</v>
      </c>
      <c r="U28" s="59">
        <f t="shared" si="21"/>
        <v>7493.3265959946675</v>
      </c>
      <c r="V28" s="59">
        <f>AVERAGE(J28:U28)</f>
        <v>4834.4042554804309</v>
      </c>
      <c r="W28" s="63"/>
    </row>
    <row r="29" spans="2:23" x14ac:dyDescent="0.25">
      <c r="B29" s="55" t="s">
        <v>122</v>
      </c>
      <c r="C29" s="64">
        <f>SUM(C23:C28)</f>
        <v>7735.0468087686913</v>
      </c>
      <c r="D29" s="64">
        <f>SUM(D23:D28)</f>
        <v>13308.042921204469</v>
      </c>
      <c r="E29" s="61">
        <f t="shared" si="15"/>
        <v>21043.089729973159</v>
      </c>
      <c r="F29" s="62"/>
      <c r="H29" s="94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6"/>
    </row>
    <row r="30" spans="2:23" x14ac:dyDescent="0.25">
      <c r="B30" s="60" t="s">
        <v>123</v>
      </c>
      <c r="C30" s="59">
        <f>E30*C44</f>
        <v>62.80959034698472</v>
      </c>
      <c r="D30" s="59">
        <f>E30*D44</f>
        <v>122.69040965301529</v>
      </c>
      <c r="E30" s="59">
        <f>U37</f>
        <v>185.5</v>
      </c>
      <c r="F30" s="54"/>
      <c r="H30" s="91" t="s">
        <v>121</v>
      </c>
      <c r="I30" s="60" t="s">
        <v>113</v>
      </c>
      <c r="J30" s="59">
        <f>+J158</f>
        <v>2223.2217844167285</v>
      </c>
      <c r="K30" s="59">
        <f t="shared" ref="K30:U30" si="22">J32</f>
        <v>2874.4765066186592</v>
      </c>
      <c r="L30" s="59">
        <f t="shared" si="22"/>
        <v>3525.7312288205899</v>
      </c>
      <c r="M30" s="59">
        <f t="shared" si="22"/>
        <v>4176.9859510225206</v>
      </c>
      <c r="N30" s="59">
        <f t="shared" si="22"/>
        <v>4828.2406732244517</v>
      </c>
      <c r="O30" s="59">
        <f t="shared" si="22"/>
        <v>5479.4953954263829</v>
      </c>
      <c r="P30" s="59">
        <f t="shared" si="22"/>
        <v>6224.8396106938117</v>
      </c>
      <c r="Q30" s="59">
        <f t="shared" si="22"/>
        <v>7150.4795590466101</v>
      </c>
      <c r="R30" s="59">
        <f t="shared" si="22"/>
        <v>8322.7751350454</v>
      </c>
      <c r="S30" s="59">
        <f t="shared" si="22"/>
        <v>9569.0920815851678</v>
      </c>
      <c r="T30" s="59">
        <f t="shared" si="22"/>
        <v>10815.409028124936</v>
      </c>
      <c r="U30" s="59">
        <f t="shared" si="22"/>
        <v>12061.725974664703</v>
      </c>
      <c r="V30" s="59"/>
      <c r="W30" s="63"/>
    </row>
    <row r="31" spans="2:23" x14ac:dyDescent="0.25">
      <c r="B31" s="55" t="s">
        <v>77</v>
      </c>
      <c r="C31" s="61">
        <f>SUM(C29:C30)</f>
        <v>7797.8563991156761</v>
      </c>
      <c r="D31" s="61">
        <f>SUM(D29:D30)</f>
        <v>13430.733330857485</v>
      </c>
      <c r="E31" s="61">
        <f>SUM(E29:E30)</f>
        <v>21228.589729973159</v>
      </c>
      <c r="F31" s="62"/>
      <c r="H31" s="92"/>
      <c r="I31" s="60" t="s">
        <v>4</v>
      </c>
      <c r="J31" s="59">
        <f>J166</f>
        <v>651.2547222019308</v>
      </c>
      <c r="K31" s="59">
        <f t="shared" ref="K31:U31" si="23">K166</f>
        <v>651.2547222019308</v>
      </c>
      <c r="L31" s="59">
        <f t="shared" si="23"/>
        <v>651.2547222019308</v>
      </c>
      <c r="M31" s="59">
        <f t="shared" si="23"/>
        <v>651.2547222019308</v>
      </c>
      <c r="N31" s="59">
        <f t="shared" si="23"/>
        <v>651.2547222019308</v>
      </c>
      <c r="O31" s="59">
        <f t="shared" si="23"/>
        <v>745.34421526742847</v>
      </c>
      <c r="P31" s="59">
        <f t="shared" si="23"/>
        <v>925.63994835279823</v>
      </c>
      <c r="Q31" s="59">
        <f t="shared" si="23"/>
        <v>1172.2955759987904</v>
      </c>
      <c r="R31" s="59">
        <f t="shared" si="23"/>
        <v>1246.3169465397677</v>
      </c>
      <c r="S31" s="59">
        <f t="shared" si="23"/>
        <v>1246.3169465397677</v>
      </c>
      <c r="T31" s="59">
        <f t="shared" si="23"/>
        <v>1246.3169465397677</v>
      </c>
      <c r="U31" s="59">
        <f t="shared" si="23"/>
        <v>1246.3169465397677</v>
      </c>
      <c r="V31" s="59"/>
      <c r="W31" s="59">
        <f>SUM(J31:U31)</f>
        <v>11084.821136787741</v>
      </c>
    </row>
    <row r="32" spans="2:23" x14ac:dyDescent="0.25">
      <c r="B32" s="53"/>
      <c r="C32" s="62"/>
      <c r="D32" s="62"/>
      <c r="E32" s="62"/>
      <c r="F32" s="62"/>
      <c r="H32" s="92"/>
      <c r="I32" s="60" t="s">
        <v>116</v>
      </c>
      <c r="J32" s="59">
        <f t="shared" ref="J32:U32" si="24">SUM(J30:J31)</f>
        <v>2874.4765066186592</v>
      </c>
      <c r="K32" s="59">
        <f t="shared" si="24"/>
        <v>3525.7312288205899</v>
      </c>
      <c r="L32" s="59">
        <f t="shared" si="24"/>
        <v>4176.9859510225206</v>
      </c>
      <c r="M32" s="59">
        <f t="shared" si="24"/>
        <v>4828.2406732244517</v>
      </c>
      <c r="N32" s="59">
        <f t="shared" si="24"/>
        <v>5479.4953954263829</v>
      </c>
      <c r="O32" s="59">
        <f t="shared" si="24"/>
        <v>6224.8396106938117</v>
      </c>
      <c r="P32" s="59">
        <f t="shared" si="24"/>
        <v>7150.4795590466101</v>
      </c>
      <c r="Q32" s="59">
        <f t="shared" si="24"/>
        <v>8322.7751350454</v>
      </c>
      <c r="R32" s="59">
        <f t="shared" si="24"/>
        <v>9569.0920815851678</v>
      </c>
      <c r="S32" s="59">
        <f t="shared" si="24"/>
        <v>10815.409028124936</v>
      </c>
      <c r="T32" s="59">
        <f t="shared" si="24"/>
        <v>12061.725974664703</v>
      </c>
      <c r="U32" s="59">
        <f t="shared" si="24"/>
        <v>13308.042921204471</v>
      </c>
      <c r="V32" s="59"/>
      <c r="W32" s="63"/>
    </row>
    <row r="33" spans="2:23" x14ac:dyDescent="0.25">
      <c r="E33" s="54"/>
      <c r="F33" s="54"/>
      <c r="H33" s="93"/>
      <c r="I33" s="60" t="s">
        <v>118</v>
      </c>
      <c r="J33" s="59">
        <f t="shared" ref="J33:U33" si="25">AVERAGE(J30,J32)</f>
        <v>2548.8491455176936</v>
      </c>
      <c r="K33" s="59">
        <f t="shared" si="25"/>
        <v>3200.1038677196248</v>
      </c>
      <c r="L33" s="59">
        <f t="shared" si="25"/>
        <v>3851.358589921555</v>
      </c>
      <c r="M33" s="59">
        <f t="shared" si="25"/>
        <v>4502.6133121234861</v>
      </c>
      <c r="N33" s="59">
        <f t="shared" si="25"/>
        <v>5153.8680343254173</v>
      </c>
      <c r="O33" s="59">
        <f t="shared" si="25"/>
        <v>5852.1675030600973</v>
      </c>
      <c r="P33" s="59">
        <f t="shared" si="25"/>
        <v>6687.6595848702109</v>
      </c>
      <c r="Q33" s="59">
        <f t="shared" si="25"/>
        <v>7736.6273470460055</v>
      </c>
      <c r="R33" s="59">
        <f t="shared" si="25"/>
        <v>8945.9336083152848</v>
      </c>
      <c r="S33" s="59">
        <f t="shared" si="25"/>
        <v>10192.250554855051</v>
      </c>
      <c r="T33" s="59">
        <f t="shared" si="25"/>
        <v>11438.56750139482</v>
      </c>
      <c r="U33" s="59">
        <f t="shared" si="25"/>
        <v>12684.884447934586</v>
      </c>
      <c r="V33" s="59">
        <f>AVERAGE(J33:U33)</f>
        <v>6899.5736247569866</v>
      </c>
      <c r="W33" s="63"/>
    </row>
    <row r="34" spans="2:23" x14ac:dyDescent="0.25">
      <c r="E34" s="52"/>
      <c r="F34" s="52"/>
      <c r="H34" s="94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6"/>
    </row>
    <row r="35" spans="2:23" x14ac:dyDescent="0.25">
      <c r="H35" s="91" t="s">
        <v>124</v>
      </c>
      <c r="I35" s="60" t="s">
        <v>113</v>
      </c>
      <c r="J35" s="59">
        <f>+J184</f>
        <v>22</v>
      </c>
      <c r="K35" s="59">
        <f>J37</f>
        <v>25.666666666666668</v>
      </c>
      <c r="L35" s="59">
        <f t="shared" ref="L35:U35" si="26">K37</f>
        <v>38.5</v>
      </c>
      <c r="M35" s="59">
        <f t="shared" si="26"/>
        <v>51.333333333333336</v>
      </c>
      <c r="N35" s="59">
        <f t="shared" si="26"/>
        <v>64.166666666666671</v>
      </c>
      <c r="O35" s="59">
        <f t="shared" si="26"/>
        <v>77</v>
      </c>
      <c r="P35" s="59">
        <f t="shared" si="26"/>
        <v>89.833333333333329</v>
      </c>
      <c r="Q35" s="59">
        <f t="shared" si="26"/>
        <v>103</v>
      </c>
      <c r="R35" s="59">
        <f t="shared" si="26"/>
        <v>116.16666666666667</v>
      </c>
      <c r="S35" s="59">
        <f t="shared" si="26"/>
        <v>129.33333333333334</v>
      </c>
      <c r="T35" s="59">
        <f t="shared" si="26"/>
        <v>142.5</v>
      </c>
      <c r="U35" s="59">
        <f t="shared" si="26"/>
        <v>164</v>
      </c>
      <c r="V35" s="59"/>
      <c r="W35" s="63"/>
    </row>
    <row r="36" spans="2:23" x14ac:dyDescent="0.25">
      <c r="B36" s="53" t="s">
        <v>127</v>
      </c>
      <c r="H36" s="92"/>
      <c r="I36" s="60" t="s">
        <v>4</v>
      </c>
      <c r="J36" s="59">
        <f>J192</f>
        <v>3.6666666666666665</v>
      </c>
      <c r="K36" s="59">
        <f t="shared" ref="K36:U36" si="27">K192</f>
        <v>12.833333333333334</v>
      </c>
      <c r="L36" s="59">
        <f t="shared" si="27"/>
        <v>12.833333333333334</v>
      </c>
      <c r="M36" s="59">
        <f t="shared" si="27"/>
        <v>12.833333333333334</v>
      </c>
      <c r="N36" s="59">
        <f t="shared" si="27"/>
        <v>12.833333333333334</v>
      </c>
      <c r="O36" s="59">
        <f t="shared" si="27"/>
        <v>12.833333333333334</v>
      </c>
      <c r="P36" s="59">
        <f t="shared" si="27"/>
        <v>13.166666666666668</v>
      </c>
      <c r="Q36" s="59">
        <f t="shared" si="27"/>
        <v>13.166666666666668</v>
      </c>
      <c r="R36" s="59">
        <f t="shared" si="27"/>
        <v>13.166666666666668</v>
      </c>
      <c r="S36" s="59">
        <f t="shared" si="27"/>
        <v>13.166666666666668</v>
      </c>
      <c r="T36" s="59">
        <f t="shared" si="27"/>
        <v>21.5</v>
      </c>
      <c r="U36" s="59">
        <f t="shared" si="27"/>
        <v>21.5</v>
      </c>
      <c r="V36" s="59"/>
      <c r="W36" s="59">
        <f>SUM(J36:U36)</f>
        <v>163.50000000000003</v>
      </c>
    </row>
    <row r="37" spans="2:23" x14ac:dyDescent="0.25">
      <c r="H37" s="92"/>
      <c r="I37" s="60" t="s">
        <v>116</v>
      </c>
      <c r="J37" s="59">
        <f t="shared" ref="J37:U37" si="28">SUM(J35:J36)</f>
        <v>25.666666666666668</v>
      </c>
      <c r="K37" s="59">
        <f t="shared" si="28"/>
        <v>38.5</v>
      </c>
      <c r="L37" s="59">
        <f t="shared" si="28"/>
        <v>51.333333333333336</v>
      </c>
      <c r="M37" s="59">
        <f t="shared" si="28"/>
        <v>64.166666666666671</v>
      </c>
      <c r="N37" s="59">
        <f t="shared" si="28"/>
        <v>77</v>
      </c>
      <c r="O37" s="59">
        <f t="shared" si="28"/>
        <v>89.833333333333329</v>
      </c>
      <c r="P37" s="59">
        <f t="shared" si="28"/>
        <v>103</v>
      </c>
      <c r="Q37" s="59">
        <f t="shared" si="28"/>
        <v>116.16666666666667</v>
      </c>
      <c r="R37" s="59">
        <f t="shared" si="28"/>
        <v>129.33333333333334</v>
      </c>
      <c r="S37" s="59">
        <f t="shared" si="28"/>
        <v>142.5</v>
      </c>
      <c r="T37" s="59">
        <f t="shared" si="28"/>
        <v>164</v>
      </c>
      <c r="U37" s="59">
        <f t="shared" si="28"/>
        <v>185.5</v>
      </c>
      <c r="V37" s="59"/>
      <c r="W37" s="63"/>
    </row>
    <row r="38" spans="2:23" x14ac:dyDescent="0.25">
      <c r="B38" s="99" t="s">
        <v>128</v>
      </c>
      <c r="C38" s="100" t="s">
        <v>129</v>
      </c>
      <c r="D38" s="100"/>
      <c r="E38" s="100"/>
      <c r="F38" s="100"/>
      <c r="H38" s="93"/>
      <c r="I38" s="60" t="s">
        <v>118</v>
      </c>
      <c r="J38" s="59">
        <f t="shared" ref="J38:U38" si="29">AVERAGE(J35,J37)</f>
        <v>23.833333333333336</v>
      </c>
      <c r="K38" s="59">
        <f t="shared" si="29"/>
        <v>32.083333333333336</v>
      </c>
      <c r="L38" s="59">
        <f t="shared" si="29"/>
        <v>44.916666666666671</v>
      </c>
      <c r="M38" s="59">
        <f t="shared" si="29"/>
        <v>57.75</v>
      </c>
      <c r="N38" s="59">
        <f t="shared" si="29"/>
        <v>70.583333333333343</v>
      </c>
      <c r="O38" s="59">
        <f t="shared" si="29"/>
        <v>83.416666666666657</v>
      </c>
      <c r="P38" s="59">
        <f t="shared" si="29"/>
        <v>96.416666666666657</v>
      </c>
      <c r="Q38" s="59">
        <f t="shared" si="29"/>
        <v>109.58333333333334</v>
      </c>
      <c r="R38" s="59">
        <f t="shared" si="29"/>
        <v>122.75</v>
      </c>
      <c r="S38" s="59">
        <f t="shared" si="29"/>
        <v>135.91666666666669</v>
      </c>
      <c r="T38" s="59">
        <f t="shared" si="29"/>
        <v>153.25</v>
      </c>
      <c r="U38" s="59">
        <f t="shared" si="29"/>
        <v>174.75</v>
      </c>
      <c r="V38" s="59">
        <f>AVERAGE(J38:U38)</f>
        <v>92.104166666666671</v>
      </c>
      <c r="W38" s="63"/>
    </row>
    <row r="39" spans="2:23" x14ac:dyDescent="0.25">
      <c r="B39" s="99"/>
      <c r="C39" s="57" t="s">
        <v>112</v>
      </c>
      <c r="D39" s="57" t="s">
        <v>121</v>
      </c>
      <c r="E39" s="65" t="s">
        <v>124</v>
      </c>
      <c r="F39" s="65" t="s">
        <v>77</v>
      </c>
    </row>
    <row r="40" spans="2:23" x14ac:dyDescent="0.25">
      <c r="B40" s="60" t="s">
        <v>130</v>
      </c>
      <c r="C40" s="59">
        <f>V10</f>
        <v>290248.60146269487</v>
      </c>
      <c r="D40" s="59">
        <f>V15</f>
        <v>564419.28650122706</v>
      </c>
      <c r="E40" s="59">
        <f>V20</f>
        <v>1815.0591666666667</v>
      </c>
      <c r="F40" s="59">
        <f>SUM(C40:E40)</f>
        <v>856482.9471305887</v>
      </c>
      <c r="U40" s="66"/>
      <c r="V40" s="62"/>
    </row>
    <row r="41" spans="2:23" x14ac:dyDescent="0.25">
      <c r="B41" s="60" t="s">
        <v>131</v>
      </c>
      <c r="C41" s="59">
        <f>-V28</f>
        <v>-4834.4042554804309</v>
      </c>
      <c r="D41" s="59">
        <f>-V33</f>
        <v>-6899.5736247569866</v>
      </c>
      <c r="E41" s="59">
        <f>-V38</f>
        <v>-92.104166666666671</v>
      </c>
      <c r="F41" s="59">
        <f t="shared" ref="F41:F42" si="30">SUM(C41:E41)</f>
        <v>-11826.082046904083</v>
      </c>
      <c r="T41" s="62"/>
      <c r="U41" s="66"/>
      <c r="W41" s="62"/>
    </row>
    <row r="42" spans="2:23" x14ac:dyDescent="0.25">
      <c r="B42" s="55" t="s">
        <v>132</v>
      </c>
      <c r="C42" s="61">
        <f>SUM(C40:C41)</f>
        <v>285414.19720721443</v>
      </c>
      <c r="D42" s="61">
        <f>SUM(D40:D41)</f>
        <v>557519.71287647006</v>
      </c>
      <c r="E42" s="61">
        <f>SUM(E40:E41)</f>
        <v>1722.9549999999999</v>
      </c>
      <c r="F42" s="61">
        <f t="shared" si="30"/>
        <v>844656.86508368445</v>
      </c>
      <c r="H42" s="53" t="s">
        <v>133</v>
      </c>
    </row>
    <row r="43" spans="2:23" x14ac:dyDescent="0.25">
      <c r="H43" s="53"/>
    </row>
    <row r="44" spans="2:23" x14ac:dyDescent="0.25">
      <c r="B44" s="53" t="s">
        <v>134</v>
      </c>
      <c r="C44" s="67">
        <f>C42/(C42+D42)</f>
        <v>0.33859617437727613</v>
      </c>
      <c r="D44" s="67">
        <f>D42/(C42+D42)</f>
        <v>0.66140382562272393</v>
      </c>
      <c r="H44" s="94"/>
      <c r="I44" s="96"/>
      <c r="J44" s="59" t="s">
        <v>98</v>
      </c>
      <c r="K44" s="59" t="s">
        <v>99</v>
      </c>
      <c r="L44" s="59" t="s">
        <v>100</v>
      </c>
      <c r="M44" s="59" t="s">
        <v>101</v>
      </c>
      <c r="N44" s="59" t="s">
        <v>102</v>
      </c>
      <c r="O44" s="59" t="s">
        <v>103</v>
      </c>
      <c r="P44" s="59" t="s">
        <v>104</v>
      </c>
      <c r="Q44" s="59" t="s">
        <v>105</v>
      </c>
      <c r="R44" s="59" t="s">
        <v>106</v>
      </c>
      <c r="S44" s="59" t="s">
        <v>107</v>
      </c>
      <c r="T44" s="59" t="s">
        <v>108</v>
      </c>
      <c r="U44" s="59" t="s">
        <v>109</v>
      </c>
      <c r="V44" s="59" t="s">
        <v>110</v>
      </c>
      <c r="W44" s="63" t="s">
        <v>77</v>
      </c>
    </row>
    <row r="45" spans="2:23" x14ac:dyDescent="0.25">
      <c r="H45" s="101" t="s">
        <v>135</v>
      </c>
      <c r="I45" s="68">
        <v>1715</v>
      </c>
      <c r="J45" s="59">
        <v>35695.863494181751</v>
      </c>
      <c r="K45" s="59">
        <f>J61</f>
        <v>35695.863494181751</v>
      </c>
      <c r="L45" s="59">
        <f t="shared" ref="L45:U50" si="31">K61</f>
        <v>35695.863494181751</v>
      </c>
      <c r="M45" s="59">
        <f t="shared" si="31"/>
        <v>35695.863494181751</v>
      </c>
      <c r="N45" s="59">
        <f t="shared" si="31"/>
        <v>35695.863494181751</v>
      </c>
      <c r="O45" s="59">
        <f t="shared" si="31"/>
        <v>35695.863494181751</v>
      </c>
      <c r="P45" s="59">
        <f t="shared" si="31"/>
        <v>35695.863494181751</v>
      </c>
      <c r="Q45" s="59">
        <f t="shared" si="31"/>
        <v>35695.863494181751</v>
      </c>
      <c r="R45" s="59">
        <f t="shared" si="31"/>
        <v>35695.863494181751</v>
      </c>
      <c r="S45" s="59">
        <f t="shared" si="31"/>
        <v>35695.863494181751</v>
      </c>
      <c r="T45" s="59">
        <f t="shared" si="31"/>
        <v>35695.863494181751</v>
      </c>
      <c r="U45" s="59">
        <f t="shared" si="31"/>
        <v>35695.863494181751</v>
      </c>
      <c r="V45" s="59">
        <f>AVERAGE(J45:U45)</f>
        <v>35695.863494181758</v>
      </c>
      <c r="W45" s="69"/>
    </row>
    <row r="46" spans="2:23" x14ac:dyDescent="0.25">
      <c r="H46" s="101"/>
      <c r="I46" s="68" t="s">
        <v>10</v>
      </c>
      <c r="J46" s="59">
        <v>6241.4742871759781</v>
      </c>
      <c r="K46" s="59">
        <f t="shared" ref="K46:M50" si="32">J62</f>
        <v>6241.4742871759781</v>
      </c>
      <c r="L46" s="59">
        <f t="shared" si="32"/>
        <v>6241.4742871759781</v>
      </c>
      <c r="M46" s="59">
        <f t="shared" si="32"/>
        <v>6241.4742871759781</v>
      </c>
      <c r="N46" s="59">
        <f t="shared" si="31"/>
        <v>6241.4742871759781</v>
      </c>
      <c r="O46" s="59">
        <f t="shared" si="31"/>
        <v>6241.4742871759781</v>
      </c>
      <c r="P46" s="59">
        <f t="shared" si="31"/>
        <v>6241.4742871759781</v>
      </c>
      <c r="Q46" s="59">
        <f t="shared" si="31"/>
        <v>6241.4742871759781</v>
      </c>
      <c r="R46" s="59">
        <f t="shared" si="31"/>
        <v>6241.4742871759781</v>
      </c>
      <c r="S46" s="59">
        <f t="shared" si="31"/>
        <v>6241.4742871759781</v>
      </c>
      <c r="T46" s="59">
        <f t="shared" si="31"/>
        <v>6241.4742871759781</v>
      </c>
      <c r="U46" s="59">
        <f t="shared" si="31"/>
        <v>6241.4742871759781</v>
      </c>
      <c r="V46" s="59">
        <f t="shared" ref="V46:V50" si="33">AVERAGE(J46:U46)</f>
        <v>6241.47428717598</v>
      </c>
      <c r="W46" s="69"/>
    </row>
    <row r="47" spans="2:23" x14ac:dyDescent="0.25">
      <c r="H47" s="101"/>
      <c r="I47" s="68" t="s">
        <v>11</v>
      </c>
      <c r="J47" s="59">
        <v>1492.6244277130188</v>
      </c>
      <c r="K47" s="59">
        <f t="shared" si="32"/>
        <v>1492.6244277130188</v>
      </c>
      <c r="L47" s="59">
        <f t="shared" si="32"/>
        <v>1492.6244277130188</v>
      </c>
      <c r="M47" s="59">
        <f t="shared" si="32"/>
        <v>1492.6244277130188</v>
      </c>
      <c r="N47" s="59">
        <f t="shared" si="31"/>
        <v>1492.6244277130188</v>
      </c>
      <c r="O47" s="59">
        <f t="shared" si="31"/>
        <v>1492.6244277130188</v>
      </c>
      <c r="P47" s="59">
        <f t="shared" si="31"/>
        <v>1492.6244277130188</v>
      </c>
      <c r="Q47" s="59">
        <f t="shared" si="31"/>
        <v>1492.6244277130188</v>
      </c>
      <c r="R47" s="59">
        <f t="shared" si="31"/>
        <v>1492.6244277130188</v>
      </c>
      <c r="S47" s="59">
        <f t="shared" si="31"/>
        <v>1492.6244277130188</v>
      </c>
      <c r="T47" s="59">
        <f t="shared" si="31"/>
        <v>1492.6244277130188</v>
      </c>
      <c r="U47" s="59">
        <f t="shared" si="31"/>
        <v>1492.6244277130188</v>
      </c>
      <c r="V47" s="59">
        <f t="shared" si="33"/>
        <v>1492.6244277130188</v>
      </c>
      <c r="W47" s="69"/>
    </row>
    <row r="48" spans="2:23" x14ac:dyDescent="0.25">
      <c r="H48" s="101"/>
      <c r="I48" s="68">
        <v>1720</v>
      </c>
      <c r="J48" s="59">
        <v>113068.60055148727</v>
      </c>
      <c r="K48" s="59">
        <f t="shared" si="32"/>
        <v>113068.60055148727</v>
      </c>
      <c r="L48" s="59">
        <f t="shared" si="32"/>
        <v>113068.60055148727</v>
      </c>
      <c r="M48" s="59">
        <f t="shared" si="32"/>
        <v>113068.60055148727</v>
      </c>
      <c r="N48" s="59">
        <f t="shared" si="31"/>
        <v>113068.60055148727</v>
      </c>
      <c r="O48" s="59">
        <f t="shared" si="31"/>
        <v>113068.60055148727</v>
      </c>
      <c r="P48" s="59">
        <f t="shared" si="31"/>
        <v>113068.60055148727</v>
      </c>
      <c r="Q48" s="59">
        <f t="shared" si="31"/>
        <v>113068.60055148727</v>
      </c>
      <c r="R48" s="59">
        <f t="shared" si="31"/>
        <v>113068.60055148727</v>
      </c>
      <c r="S48" s="59">
        <f t="shared" si="31"/>
        <v>113068.60055148727</v>
      </c>
      <c r="T48" s="59">
        <f t="shared" si="31"/>
        <v>113068.60055148727</v>
      </c>
      <c r="U48" s="59">
        <f t="shared" si="31"/>
        <v>113068.60055148727</v>
      </c>
      <c r="V48" s="59">
        <f t="shared" si="33"/>
        <v>113068.60055148725</v>
      </c>
      <c r="W48" s="69"/>
    </row>
    <row r="49" spans="8:25" x14ac:dyDescent="0.25">
      <c r="H49" s="101"/>
      <c r="I49" s="68">
        <v>1725</v>
      </c>
      <c r="J49" s="59">
        <v>0</v>
      </c>
      <c r="K49" s="59">
        <f t="shared" si="32"/>
        <v>0</v>
      </c>
      <c r="L49" s="59">
        <f t="shared" si="32"/>
        <v>0</v>
      </c>
      <c r="M49" s="59">
        <f t="shared" si="32"/>
        <v>0</v>
      </c>
      <c r="N49" s="59">
        <f t="shared" si="31"/>
        <v>0</v>
      </c>
      <c r="O49" s="59">
        <f t="shared" si="31"/>
        <v>0</v>
      </c>
      <c r="P49" s="59">
        <f t="shared" si="31"/>
        <v>0</v>
      </c>
      <c r="Q49" s="59">
        <f t="shared" si="31"/>
        <v>0</v>
      </c>
      <c r="R49" s="59">
        <f t="shared" si="31"/>
        <v>0</v>
      </c>
      <c r="S49" s="59">
        <f t="shared" si="31"/>
        <v>0</v>
      </c>
      <c r="T49" s="59">
        <f t="shared" si="31"/>
        <v>0</v>
      </c>
      <c r="U49" s="59">
        <f t="shared" si="31"/>
        <v>0</v>
      </c>
      <c r="V49" s="59">
        <f t="shared" si="33"/>
        <v>0</v>
      </c>
      <c r="W49" s="69"/>
    </row>
    <row r="50" spans="8:25" x14ac:dyDescent="0.25">
      <c r="H50" s="101"/>
      <c r="I50" s="68">
        <v>1730</v>
      </c>
      <c r="J50" s="59">
        <v>133750.03870213695</v>
      </c>
      <c r="K50" s="59">
        <f t="shared" si="32"/>
        <v>133750.03870213695</v>
      </c>
      <c r="L50" s="59">
        <f t="shared" si="32"/>
        <v>133750.03870213695</v>
      </c>
      <c r="M50" s="59">
        <f t="shared" si="32"/>
        <v>133750.03870213695</v>
      </c>
      <c r="N50" s="59">
        <f t="shared" si="31"/>
        <v>133750.03870213695</v>
      </c>
      <c r="O50" s="59">
        <f t="shared" si="31"/>
        <v>133750.03870213695</v>
      </c>
      <c r="P50" s="59">
        <f t="shared" si="31"/>
        <v>133750.03870213695</v>
      </c>
      <c r="Q50" s="59">
        <f t="shared" si="31"/>
        <v>133750.03870213695</v>
      </c>
      <c r="R50" s="59">
        <f t="shared" si="31"/>
        <v>133750.03870213695</v>
      </c>
      <c r="S50" s="59">
        <f t="shared" si="31"/>
        <v>133750.03870213695</v>
      </c>
      <c r="T50" s="59">
        <f t="shared" si="31"/>
        <v>133750.03870213695</v>
      </c>
      <c r="U50" s="59">
        <f t="shared" si="31"/>
        <v>133750.03870213695</v>
      </c>
      <c r="V50" s="59">
        <f t="shared" si="33"/>
        <v>133750.03870213692</v>
      </c>
      <c r="W50" s="69"/>
    </row>
    <row r="51" spans="8:25" x14ac:dyDescent="0.25">
      <c r="H51" s="101"/>
      <c r="I51" s="55" t="s">
        <v>77</v>
      </c>
      <c r="J51" s="61">
        <f>SUM(J45:J50)</f>
        <v>290248.60146269493</v>
      </c>
      <c r="K51" s="61">
        <f t="shared" ref="K51:V51" si="34">SUM(K45:K50)</f>
        <v>290248.60146269493</v>
      </c>
      <c r="L51" s="61">
        <f t="shared" si="34"/>
        <v>290248.60146269493</v>
      </c>
      <c r="M51" s="61">
        <f t="shared" si="34"/>
        <v>290248.60146269493</v>
      </c>
      <c r="N51" s="61">
        <f t="shared" si="34"/>
        <v>290248.60146269493</v>
      </c>
      <c r="O51" s="61">
        <f t="shared" si="34"/>
        <v>290248.60146269493</v>
      </c>
      <c r="P51" s="61">
        <f t="shared" si="34"/>
        <v>290248.60146269493</v>
      </c>
      <c r="Q51" s="61">
        <f t="shared" si="34"/>
        <v>290248.60146269493</v>
      </c>
      <c r="R51" s="61">
        <f t="shared" si="34"/>
        <v>290248.60146269493</v>
      </c>
      <c r="S51" s="61">
        <f t="shared" si="34"/>
        <v>290248.60146269493</v>
      </c>
      <c r="T51" s="61">
        <f t="shared" si="34"/>
        <v>290248.60146269493</v>
      </c>
      <c r="U51" s="61">
        <f t="shared" si="34"/>
        <v>290248.60146269493</v>
      </c>
      <c r="V51" s="61">
        <f t="shared" si="34"/>
        <v>290248.60146269493</v>
      </c>
      <c r="W51" s="70"/>
    </row>
    <row r="52" spans="8:25" x14ac:dyDescent="0.25">
      <c r="H52" s="94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6"/>
    </row>
    <row r="53" spans="8:25" x14ac:dyDescent="0.25">
      <c r="H53" s="101" t="s">
        <v>136</v>
      </c>
      <c r="I53" s="68">
        <v>1715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f t="shared" ref="V53:V58" si="35">AVERAGE(J53:U53)</f>
        <v>0</v>
      </c>
      <c r="W53" s="59">
        <f t="shared" ref="W53:W59" si="36">SUM(J53:U53)</f>
        <v>0</v>
      </c>
    </row>
    <row r="54" spans="8:25" x14ac:dyDescent="0.25">
      <c r="H54" s="101"/>
      <c r="I54" s="68" t="s">
        <v>10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f t="shared" si="35"/>
        <v>0</v>
      </c>
      <c r="W54" s="59">
        <f t="shared" si="36"/>
        <v>0</v>
      </c>
    </row>
    <row r="55" spans="8:25" x14ac:dyDescent="0.25">
      <c r="H55" s="101"/>
      <c r="I55" s="68" t="s">
        <v>11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f t="shared" si="35"/>
        <v>0</v>
      </c>
      <c r="W55" s="59">
        <f t="shared" si="36"/>
        <v>0</v>
      </c>
    </row>
    <row r="56" spans="8:25" x14ac:dyDescent="0.25">
      <c r="H56" s="101"/>
      <c r="I56" s="68">
        <v>1720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f t="shared" si="35"/>
        <v>0</v>
      </c>
      <c r="W56" s="59">
        <f t="shared" si="36"/>
        <v>0</v>
      </c>
    </row>
    <row r="57" spans="8:25" x14ac:dyDescent="0.25">
      <c r="H57" s="101"/>
      <c r="I57" s="68">
        <v>1725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f t="shared" si="35"/>
        <v>0</v>
      </c>
      <c r="W57" s="59">
        <f t="shared" si="36"/>
        <v>0</v>
      </c>
    </row>
    <row r="58" spans="8:25" x14ac:dyDescent="0.25">
      <c r="H58" s="101"/>
      <c r="I58" s="68">
        <v>1730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f t="shared" si="35"/>
        <v>0</v>
      </c>
      <c r="W58" s="59">
        <f t="shared" si="36"/>
        <v>0</v>
      </c>
      <c r="X58" s="71"/>
      <c r="Y58" s="71"/>
    </row>
    <row r="59" spans="8:25" x14ac:dyDescent="0.25">
      <c r="H59" s="101"/>
      <c r="I59" s="55" t="s">
        <v>77</v>
      </c>
      <c r="J59" s="61">
        <f>SUM(J53:J58)</f>
        <v>0</v>
      </c>
      <c r="K59" s="61">
        <f t="shared" ref="K59:V59" si="37">SUM(K53:K58)</f>
        <v>0</v>
      </c>
      <c r="L59" s="61">
        <f t="shared" si="37"/>
        <v>0</v>
      </c>
      <c r="M59" s="61">
        <f t="shared" si="37"/>
        <v>0</v>
      </c>
      <c r="N59" s="61">
        <f t="shared" si="37"/>
        <v>0</v>
      </c>
      <c r="O59" s="61">
        <f t="shared" si="37"/>
        <v>0</v>
      </c>
      <c r="P59" s="61">
        <f t="shared" si="37"/>
        <v>0</v>
      </c>
      <c r="Q59" s="61">
        <f t="shared" si="37"/>
        <v>0</v>
      </c>
      <c r="R59" s="61">
        <f t="shared" si="37"/>
        <v>0</v>
      </c>
      <c r="S59" s="61">
        <f t="shared" si="37"/>
        <v>0</v>
      </c>
      <c r="T59" s="61">
        <f t="shared" si="37"/>
        <v>0</v>
      </c>
      <c r="U59" s="61">
        <f t="shared" si="37"/>
        <v>0</v>
      </c>
      <c r="V59" s="61">
        <f t="shared" si="37"/>
        <v>0</v>
      </c>
      <c r="W59" s="61">
        <f t="shared" si="36"/>
        <v>0</v>
      </c>
    </row>
    <row r="60" spans="8:25" x14ac:dyDescent="0.25">
      <c r="H60" s="94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6"/>
    </row>
    <row r="61" spans="8:25" x14ac:dyDescent="0.25">
      <c r="H61" s="101" t="s">
        <v>137</v>
      </c>
      <c r="I61" s="68">
        <v>1715</v>
      </c>
      <c r="J61" s="59">
        <f>J45+J53</f>
        <v>35695.863494181751</v>
      </c>
      <c r="K61" s="59">
        <f t="shared" ref="K61:U61" si="38">K45+K53</f>
        <v>35695.863494181751</v>
      </c>
      <c r="L61" s="59">
        <f t="shared" si="38"/>
        <v>35695.863494181751</v>
      </c>
      <c r="M61" s="59">
        <f t="shared" si="38"/>
        <v>35695.863494181751</v>
      </c>
      <c r="N61" s="59">
        <f t="shared" si="38"/>
        <v>35695.863494181751</v>
      </c>
      <c r="O61" s="59">
        <f t="shared" si="38"/>
        <v>35695.863494181751</v>
      </c>
      <c r="P61" s="59">
        <f t="shared" si="38"/>
        <v>35695.863494181751</v>
      </c>
      <c r="Q61" s="59">
        <f t="shared" si="38"/>
        <v>35695.863494181751</v>
      </c>
      <c r="R61" s="59">
        <f t="shared" si="38"/>
        <v>35695.863494181751</v>
      </c>
      <c r="S61" s="59">
        <f t="shared" si="38"/>
        <v>35695.863494181751</v>
      </c>
      <c r="T61" s="59">
        <f t="shared" si="38"/>
        <v>35695.863494181751</v>
      </c>
      <c r="U61" s="59">
        <f t="shared" si="38"/>
        <v>35695.863494181751</v>
      </c>
      <c r="V61" s="59">
        <f t="shared" ref="V61:V66" si="39">AVERAGE(J61:U61)</f>
        <v>35695.863494181758</v>
      </c>
      <c r="W61" s="69"/>
    </row>
    <row r="62" spans="8:25" x14ac:dyDescent="0.25">
      <c r="H62" s="101"/>
      <c r="I62" s="68" t="s">
        <v>10</v>
      </c>
      <c r="J62" s="59">
        <f t="shared" ref="J62:U66" si="40">J46+J54</f>
        <v>6241.4742871759781</v>
      </c>
      <c r="K62" s="59">
        <f t="shared" si="40"/>
        <v>6241.4742871759781</v>
      </c>
      <c r="L62" s="59">
        <f t="shared" si="40"/>
        <v>6241.4742871759781</v>
      </c>
      <c r="M62" s="59">
        <f t="shared" si="40"/>
        <v>6241.4742871759781</v>
      </c>
      <c r="N62" s="59">
        <f t="shared" si="40"/>
        <v>6241.4742871759781</v>
      </c>
      <c r="O62" s="59">
        <f t="shared" si="40"/>
        <v>6241.4742871759781</v>
      </c>
      <c r="P62" s="59">
        <f t="shared" si="40"/>
        <v>6241.4742871759781</v>
      </c>
      <c r="Q62" s="59">
        <f t="shared" si="40"/>
        <v>6241.4742871759781</v>
      </c>
      <c r="R62" s="59">
        <f t="shared" si="40"/>
        <v>6241.4742871759781</v>
      </c>
      <c r="S62" s="59">
        <f t="shared" si="40"/>
        <v>6241.4742871759781</v>
      </c>
      <c r="T62" s="59">
        <f t="shared" si="40"/>
        <v>6241.4742871759781</v>
      </c>
      <c r="U62" s="59">
        <f t="shared" si="40"/>
        <v>6241.4742871759781</v>
      </c>
      <c r="V62" s="59">
        <f t="shared" si="39"/>
        <v>6241.47428717598</v>
      </c>
      <c r="W62" s="69"/>
    </row>
    <row r="63" spans="8:25" x14ac:dyDescent="0.25">
      <c r="H63" s="101"/>
      <c r="I63" s="68" t="s">
        <v>11</v>
      </c>
      <c r="J63" s="59">
        <f t="shared" si="40"/>
        <v>1492.6244277130188</v>
      </c>
      <c r="K63" s="59">
        <f t="shared" si="40"/>
        <v>1492.6244277130188</v>
      </c>
      <c r="L63" s="59">
        <f t="shared" si="40"/>
        <v>1492.6244277130188</v>
      </c>
      <c r="M63" s="59">
        <f t="shared" si="40"/>
        <v>1492.6244277130188</v>
      </c>
      <c r="N63" s="59">
        <f t="shared" si="40"/>
        <v>1492.6244277130188</v>
      </c>
      <c r="O63" s="59">
        <f t="shared" si="40"/>
        <v>1492.6244277130188</v>
      </c>
      <c r="P63" s="59">
        <f t="shared" si="40"/>
        <v>1492.6244277130188</v>
      </c>
      <c r="Q63" s="59">
        <f t="shared" si="40"/>
        <v>1492.6244277130188</v>
      </c>
      <c r="R63" s="59">
        <f t="shared" si="40"/>
        <v>1492.6244277130188</v>
      </c>
      <c r="S63" s="59">
        <f t="shared" si="40"/>
        <v>1492.6244277130188</v>
      </c>
      <c r="T63" s="59">
        <f t="shared" si="40"/>
        <v>1492.6244277130188</v>
      </c>
      <c r="U63" s="59">
        <f t="shared" si="40"/>
        <v>1492.6244277130188</v>
      </c>
      <c r="V63" s="59">
        <f t="shared" si="39"/>
        <v>1492.6244277130188</v>
      </c>
      <c r="W63" s="69"/>
    </row>
    <row r="64" spans="8:25" x14ac:dyDescent="0.25">
      <c r="H64" s="101"/>
      <c r="I64" s="68">
        <v>1720</v>
      </c>
      <c r="J64" s="59">
        <f t="shared" si="40"/>
        <v>113068.60055148727</v>
      </c>
      <c r="K64" s="59">
        <f t="shared" si="40"/>
        <v>113068.60055148727</v>
      </c>
      <c r="L64" s="59">
        <f t="shared" si="40"/>
        <v>113068.60055148727</v>
      </c>
      <c r="M64" s="59">
        <f t="shared" si="40"/>
        <v>113068.60055148727</v>
      </c>
      <c r="N64" s="59">
        <f t="shared" si="40"/>
        <v>113068.60055148727</v>
      </c>
      <c r="O64" s="59">
        <f t="shared" si="40"/>
        <v>113068.60055148727</v>
      </c>
      <c r="P64" s="59">
        <f t="shared" si="40"/>
        <v>113068.60055148727</v>
      </c>
      <c r="Q64" s="59">
        <f t="shared" si="40"/>
        <v>113068.60055148727</v>
      </c>
      <c r="R64" s="59">
        <f t="shared" si="40"/>
        <v>113068.60055148727</v>
      </c>
      <c r="S64" s="59">
        <f t="shared" si="40"/>
        <v>113068.60055148727</v>
      </c>
      <c r="T64" s="59">
        <f t="shared" si="40"/>
        <v>113068.60055148727</v>
      </c>
      <c r="U64" s="59">
        <f t="shared" si="40"/>
        <v>113068.60055148727</v>
      </c>
      <c r="V64" s="59">
        <f t="shared" si="39"/>
        <v>113068.60055148725</v>
      </c>
      <c r="W64" s="69"/>
    </row>
    <row r="65" spans="8:23" x14ac:dyDescent="0.25">
      <c r="H65" s="101"/>
      <c r="I65" s="68">
        <v>1725</v>
      </c>
      <c r="J65" s="59">
        <f t="shared" si="40"/>
        <v>0</v>
      </c>
      <c r="K65" s="59">
        <f t="shared" si="40"/>
        <v>0</v>
      </c>
      <c r="L65" s="59">
        <f t="shared" si="40"/>
        <v>0</v>
      </c>
      <c r="M65" s="59">
        <f t="shared" si="40"/>
        <v>0</v>
      </c>
      <c r="N65" s="59">
        <f t="shared" si="40"/>
        <v>0</v>
      </c>
      <c r="O65" s="59">
        <f t="shared" si="40"/>
        <v>0</v>
      </c>
      <c r="P65" s="59">
        <f t="shared" si="40"/>
        <v>0</v>
      </c>
      <c r="Q65" s="59">
        <f t="shared" si="40"/>
        <v>0</v>
      </c>
      <c r="R65" s="59">
        <f t="shared" si="40"/>
        <v>0</v>
      </c>
      <c r="S65" s="59">
        <f t="shared" si="40"/>
        <v>0</v>
      </c>
      <c r="T65" s="59">
        <f t="shared" si="40"/>
        <v>0</v>
      </c>
      <c r="U65" s="59">
        <f t="shared" si="40"/>
        <v>0</v>
      </c>
      <c r="V65" s="59">
        <f t="shared" si="39"/>
        <v>0</v>
      </c>
      <c r="W65" s="69"/>
    </row>
    <row r="66" spans="8:23" x14ac:dyDescent="0.25">
      <c r="H66" s="101"/>
      <c r="I66" s="68">
        <v>1730</v>
      </c>
      <c r="J66" s="59">
        <f t="shared" si="40"/>
        <v>133750.03870213695</v>
      </c>
      <c r="K66" s="59">
        <f t="shared" si="40"/>
        <v>133750.03870213695</v>
      </c>
      <c r="L66" s="59">
        <f t="shared" si="40"/>
        <v>133750.03870213695</v>
      </c>
      <c r="M66" s="59">
        <f t="shared" si="40"/>
        <v>133750.03870213695</v>
      </c>
      <c r="N66" s="59">
        <f t="shared" si="40"/>
        <v>133750.03870213695</v>
      </c>
      <c r="O66" s="59">
        <f t="shared" si="40"/>
        <v>133750.03870213695</v>
      </c>
      <c r="P66" s="59">
        <f t="shared" si="40"/>
        <v>133750.03870213695</v>
      </c>
      <c r="Q66" s="59">
        <f t="shared" si="40"/>
        <v>133750.03870213695</v>
      </c>
      <c r="R66" s="59">
        <f t="shared" si="40"/>
        <v>133750.03870213695</v>
      </c>
      <c r="S66" s="59">
        <f t="shared" si="40"/>
        <v>133750.03870213695</v>
      </c>
      <c r="T66" s="59">
        <f t="shared" si="40"/>
        <v>133750.03870213695</v>
      </c>
      <c r="U66" s="59">
        <f t="shared" si="40"/>
        <v>133750.03870213695</v>
      </c>
      <c r="V66" s="59">
        <f t="shared" si="39"/>
        <v>133750.03870213692</v>
      </c>
      <c r="W66" s="69"/>
    </row>
    <row r="67" spans="8:23" x14ac:dyDescent="0.25">
      <c r="H67" s="101"/>
      <c r="I67" s="55" t="s">
        <v>77</v>
      </c>
      <c r="J67" s="61">
        <f>SUM(J61:J66)</f>
        <v>290248.60146269493</v>
      </c>
      <c r="K67" s="61">
        <f t="shared" ref="K67:V67" si="41">SUM(K61:K66)</f>
        <v>290248.60146269493</v>
      </c>
      <c r="L67" s="61">
        <f t="shared" si="41"/>
        <v>290248.60146269493</v>
      </c>
      <c r="M67" s="61">
        <f t="shared" si="41"/>
        <v>290248.60146269493</v>
      </c>
      <c r="N67" s="61">
        <f t="shared" si="41"/>
        <v>290248.60146269493</v>
      </c>
      <c r="O67" s="61">
        <f t="shared" si="41"/>
        <v>290248.60146269493</v>
      </c>
      <c r="P67" s="61">
        <f t="shared" si="41"/>
        <v>290248.60146269493</v>
      </c>
      <c r="Q67" s="61">
        <f t="shared" si="41"/>
        <v>290248.60146269493</v>
      </c>
      <c r="R67" s="61">
        <f t="shared" si="41"/>
        <v>290248.60146269493</v>
      </c>
      <c r="S67" s="61">
        <f t="shared" si="41"/>
        <v>290248.60146269493</v>
      </c>
      <c r="T67" s="61">
        <f t="shared" si="41"/>
        <v>290248.60146269493</v>
      </c>
      <c r="U67" s="61">
        <f t="shared" si="41"/>
        <v>290248.60146269493</v>
      </c>
      <c r="V67" s="61">
        <f t="shared" si="41"/>
        <v>290248.60146269493</v>
      </c>
      <c r="W67" s="69"/>
    </row>
    <row r="70" spans="8:23" x14ac:dyDescent="0.25">
      <c r="H70" s="94"/>
      <c r="I70" s="96"/>
      <c r="J70" s="59" t="s">
        <v>98</v>
      </c>
      <c r="K70" s="59" t="s">
        <v>99</v>
      </c>
      <c r="L70" s="59" t="s">
        <v>100</v>
      </c>
      <c r="M70" s="59" t="s">
        <v>101</v>
      </c>
      <c r="N70" s="59" t="s">
        <v>102</v>
      </c>
      <c r="O70" s="59" t="s">
        <v>103</v>
      </c>
      <c r="P70" s="59" t="s">
        <v>104</v>
      </c>
      <c r="Q70" s="59" t="s">
        <v>105</v>
      </c>
      <c r="R70" s="59" t="s">
        <v>106</v>
      </c>
      <c r="S70" s="59" t="s">
        <v>107</v>
      </c>
      <c r="T70" s="59" t="s">
        <v>108</v>
      </c>
      <c r="U70" s="59" t="s">
        <v>109</v>
      </c>
      <c r="V70" s="59" t="s">
        <v>110</v>
      </c>
      <c r="W70" s="63" t="s">
        <v>77</v>
      </c>
    </row>
    <row r="71" spans="8:23" x14ac:dyDescent="0.25">
      <c r="H71" s="101" t="s">
        <v>138</v>
      </c>
      <c r="I71" s="68">
        <v>1715</v>
      </c>
      <c r="J71" s="59">
        <v>65580.962686429964</v>
      </c>
      <c r="K71" s="59">
        <f>J87</f>
        <v>65580.962686429964</v>
      </c>
      <c r="L71" s="59">
        <f t="shared" ref="L71:U76" si="42">K87</f>
        <v>65580.962686429964</v>
      </c>
      <c r="M71" s="59">
        <f t="shared" si="42"/>
        <v>65580.962686429964</v>
      </c>
      <c r="N71" s="59">
        <f t="shared" si="42"/>
        <v>65580.962686429964</v>
      </c>
      <c r="O71" s="59">
        <f t="shared" si="42"/>
        <v>81668.856427294129</v>
      </c>
      <c r="P71" s="59">
        <f t="shared" si="42"/>
        <v>105235.71626596435</v>
      </c>
      <c r="Q71" s="59">
        <f t="shared" si="42"/>
        <v>145689.28902167763</v>
      </c>
      <c r="R71" s="59">
        <f t="shared" si="42"/>
        <v>161415.37691491941</v>
      </c>
      <c r="S71" s="59">
        <f t="shared" si="42"/>
        <v>161415.37691491941</v>
      </c>
      <c r="T71" s="59">
        <f t="shared" si="42"/>
        <v>161415.37691491941</v>
      </c>
      <c r="U71" s="59">
        <f t="shared" si="42"/>
        <v>161415.37691491941</v>
      </c>
      <c r="V71" s="59">
        <f>AVERAGE(J71:U71)</f>
        <v>108846.68190056361</v>
      </c>
      <c r="W71" s="69"/>
    </row>
    <row r="72" spans="8:23" x14ac:dyDescent="0.25">
      <c r="H72" s="101"/>
      <c r="I72" s="68" t="s">
        <v>10</v>
      </c>
      <c r="J72" s="59">
        <v>6655.3767286132816</v>
      </c>
      <c r="K72" s="59">
        <f t="shared" ref="K72:M76" si="43">J88</f>
        <v>6655.3767286132816</v>
      </c>
      <c r="L72" s="59">
        <f t="shared" si="43"/>
        <v>6655.3767286132816</v>
      </c>
      <c r="M72" s="59">
        <f t="shared" si="43"/>
        <v>6655.3767286132816</v>
      </c>
      <c r="N72" s="59">
        <f t="shared" si="42"/>
        <v>6655.3767286132816</v>
      </c>
      <c r="O72" s="59">
        <f t="shared" si="42"/>
        <v>7030.0035862212517</v>
      </c>
      <c r="P72" s="59">
        <f t="shared" si="42"/>
        <v>10492.231366533733</v>
      </c>
      <c r="Q72" s="59">
        <f t="shared" si="42"/>
        <v>13584.856464385652</v>
      </c>
      <c r="R72" s="59">
        <f t="shared" si="42"/>
        <v>13959.483321993621</v>
      </c>
      <c r="S72" s="59">
        <f t="shared" si="42"/>
        <v>13959.483321993621</v>
      </c>
      <c r="T72" s="59">
        <f t="shared" si="42"/>
        <v>13959.483321993621</v>
      </c>
      <c r="U72" s="59">
        <f t="shared" si="42"/>
        <v>13959.483321993621</v>
      </c>
      <c r="V72" s="59">
        <f t="shared" ref="V72:V76" si="44">AVERAGE(J72:U72)</f>
        <v>10018.492362348463</v>
      </c>
      <c r="W72" s="69"/>
    </row>
    <row r="73" spans="8:23" x14ac:dyDescent="0.25">
      <c r="H73" s="101"/>
      <c r="I73" s="68" t="s">
        <v>11</v>
      </c>
      <c r="J73" s="59">
        <v>2884.4218895869426</v>
      </c>
      <c r="K73" s="59">
        <f t="shared" si="43"/>
        <v>2884.4218895869426</v>
      </c>
      <c r="L73" s="59">
        <f t="shared" si="43"/>
        <v>2884.4218895869426</v>
      </c>
      <c r="M73" s="59">
        <f t="shared" si="43"/>
        <v>2884.4218895869426</v>
      </c>
      <c r="N73" s="59">
        <f t="shared" si="42"/>
        <v>2884.4218895869426</v>
      </c>
      <c r="O73" s="59">
        <f t="shared" si="42"/>
        <v>3342.3063999398028</v>
      </c>
      <c r="P73" s="59">
        <f t="shared" si="42"/>
        <v>4409.8570276939299</v>
      </c>
      <c r="Q73" s="59">
        <f t="shared" si="42"/>
        <v>6320.012737608421</v>
      </c>
      <c r="R73" s="59">
        <f t="shared" si="42"/>
        <v>6776.4133154088813</v>
      </c>
      <c r="S73" s="59">
        <f t="shared" si="42"/>
        <v>6776.4133154088813</v>
      </c>
      <c r="T73" s="59">
        <f t="shared" si="42"/>
        <v>6776.4133154088813</v>
      </c>
      <c r="U73" s="59">
        <f t="shared" si="42"/>
        <v>6776.4133154088813</v>
      </c>
      <c r="V73" s="59">
        <f t="shared" si="44"/>
        <v>4633.3282395676979</v>
      </c>
      <c r="W73" s="69"/>
    </row>
    <row r="74" spans="8:23" x14ac:dyDescent="0.25">
      <c r="H74" s="101"/>
      <c r="I74" s="68">
        <v>1720</v>
      </c>
      <c r="J74" s="59">
        <v>145009.15361523363</v>
      </c>
      <c r="K74" s="59">
        <f t="shared" si="43"/>
        <v>145009.15361523363</v>
      </c>
      <c r="L74" s="59">
        <f t="shared" si="43"/>
        <v>145009.15361523363</v>
      </c>
      <c r="M74" s="59">
        <f t="shared" si="43"/>
        <v>145009.15361523363</v>
      </c>
      <c r="N74" s="59">
        <f t="shared" si="42"/>
        <v>145009.15361523363</v>
      </c>
      <c r="O74" s="59">
        <f t="shared" si="42"/>
        <v>145009.15361523363</v>
      </c>
      <c r="P74" s="59">
        <f t="shared" si="42"/>
        <v>188967.72331832041</v>
      </c>
      <c r="Q74" s="59">
        <f t="shared" si="42"/>
        <v>241411.3679823743</v>
      </c>
      <c r="R74" s="59">
        <f t="shared" si="42"/>
        <v>241411.3679823743</v>
      </c>
      <c r="S74" s="59">
        <f t="shared" si="42"/>
        <v>241411.3679823743</v>
      </c>
      <c r="T74" s="59">
        <f t="shared" si="42"/>
        <v>241411.3679823743</v>
      </c>
      <c r="U74" s="59">
        <f t="shared" si="42"/>
        <v>241411.3679823743</v>
      </c>
      <c r="V74" s="59">
        <f t="shared" si="44"/>
        <v>188839.95707679947</v>
      </c>
      <c r="W74" s="69"/>
    </row>
    <row r="75" spans="8:23" x14ac:dyDescent="0.25">
      <c r="H75" s="101"/>
      <c r="I75" s="68">
        <v>1725</v>
      </c>
      <c r="J75" s="59">
        <v>1727.7647165580745</v>
      </c>
      <c r="K75" s="59">
        <f t="shared" si="43"/>
        <v>1727.7647165580745</v>
      </c>
      <c r="L75" s="59">
        <f t="shared" si="43"/>
        <v>1727.7647165580745</v>
      </c>
      <c r="M75" s="59">
        <f t="shared" si="43"/>
        <v>1727.7647165580745</v>
      </c>
      <c r="N75" s="59">
        <f t="shared" si="42"/>
        <v>1727.7647165580745</v>
      </c>
      <c r="O75" s="59">
        <f t="shared" si="42"/>
        <v>17131.976843138684</v>
      </c>
      <c r="P75" s="59">
        <f t="shared" si="42"/>
        <v>22064.328450495173</v>
      </c>
      <c r="Q75" s="59">
        <f t="shared" si="42"/>
        <v>23143.069790005608</v>
      </c>
      <c r="R75" s="59">
        <f t="shared" si="42"/>
        <v>32785.886188253135</v>
      </c>
      <c r="S75" s="59">
        <f t="shared" si="42"/>
        <v>32785.886188253135</v>
      </c>
      <c r="T75" s="59">
        <f t="shared" si="42"/>
        <v>32785.886188253135</v>
      </c>
      <c r="U75" s="59">
        <f t="shared" si="42"/>
        <v>32785.886188253135</v>
      </c>
      <c r="V75" s="59">
        <f t="shared" si="44"/>
        <v>16843.478618286859</v>
      </c>
      <c r="W75" s="69"/>
    </row>
    <row r="76" spans="8:23" x14ac:dyDescent="0.25">
      <c r="H76" s="101"/>
      <c r="I76" s="68">
        <v>1730</v>
      </c>
      <c r="J76" s="59">
        <v>168192.80557201177</v>
      </c>
      <c r="K76" s="59">
        <f t="shared" si="43"/>
        <v>168192.80557201177</v>
      </c>
      <c r="L76" s="59">
        <f t="shared" si="43"/>
        <v>168192.80557201177</v>
      </c>
      <c r="M76" s="59">
        <f t="shared" si="43"/>
        <v>168192.80557201177</v>
      </c>
      <c r="N76" s="59">
        <f t="shared" si="42"/>
        <v>168192.80557201177</v>
      </c>
      <c r="O76" s="59">
        <f t="shared" si="42"/>
        <v>187666.11997091924</v>
      </c>
      <c r="P76" s="59">
        <f t="shared" si="42"/>
        <v>219617.36793224583</v>
      </c>
      <c r="Q76" s="59">
        <f t="shared" si="42"/>
        <v>268214.66296099778</v>
      </c>
      <c r="R76" s="59">
        <f t="shared" si="42"/>
        <v>282941.55103610037</v>
      </c>
      <c r="S76" s="59">
        <f t="shared" si="42"/>
        <v>282941.55103610037</v>
      </c>
      <c r="T76" s="59">
        <f t="shared" si="42"/>
        <v>282941.55103610037</v>
      </c>
      <c r="U76" s="59">
        <f t="shared" si="42"/>
        <v>282941.55103610037</v>
      </c>
      <c r="V76" s="59">
        <f t="shared" si="44"/>
        <v>220685.69857238524</v>
      </c>
      <c r="W76" s="69"/>
    </row>
    <row r="77" spans="8:23" x14ac:dyDescent="0.25">
      <c r="H77" s="101"/>
      <c r="I77" s="55" t="s">
        <v>77</v>
      </c>
      <c r="J77" s="61">
        <f>SUM(J71:J76)</f>
        <v>390050.48520843365</v>
      </c>
      <c r="K77" s="61">
        <f t="shared" ref="K77:V77" si="45">SUM(K71:K76)</f>
        <v>390050.48520843365</v>
      </c>
      <c r="L77" s="61">
        <f t="shared" si="45"/>
        <v>390050.48520843365</v>
      </c>
      <c r="M77" s="61">
        <f t="shared" si="45"/>
        <v>390050.48520843365</v>
      </c>
      <c r="N77" s="61">
        <f t="shared" si="45"/>
        <v>390050.48520843365</v>
      </c>
      <c r="O77" s="61">
        <f t="shared" si="45"/>
        <v>441848.41684274678</v>
      </c>
      <c r="P77" s="61">
        <f t="shared" si="45"/>
        <v>550787.22436125344</v>
      </c>
      <c r="Q77" s="61">
        <f t="shared" si="45"/>
        <v>698363.25895704934</v>
      </c>
      <c r="R77" s="61">
        <f t="shared" si="45"/>
        <v>739290.07875904976</v>
      </c>
      <c r="S77" s="61">
        <f t="shared" si="45"/>
        <v>739290.07875904976</v>
      </c>
      <c r="T77" s="61">
        <f t="shared" si="45"/>
        <v>739290.07875904976</v>
      </c>
      <c r="U77" s="61">
        <f t="shared" si="45"/>
        <v>739290.07875904976</v>
      </c>
      <c r="V77" s="61">
        <f t="shared" si="45"/>
        <v>549867.63676995132</v>
      </c>
      <c r="W77" s="69"/>
    </row>
    <row r="78" spans="8:23" x14ac:dyDescent="0.25">
      <c r="H78" s="94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6"/>
    </row>
    <row r="79" spans="8:23" x14ac:dyDescent="0.25">
      <c r="H79" s="101" t="s">
        <v>139</v>
      </c>
      <c r="I79" s="68">
        <v>1715</v>
      </c>
      <c r="J79" s="59">
        <v>0</v>
      </c>
      <c r="K79" s="59">
        <v>0</v>
      </c>
      <c r="L79" s="59">
        <v>0</v>
      </c>
      <c r="M79" s="59">
        <v>0</v>
      </c>
      <c r="N79" s="59">
        <v>16087.893740864167</v>
      </c>
      <c r="O79" s="59">
        <v>23566.859838670218</v>
      </c>
      <c r="P79" s="59">
        <v>40453.57275571327</v>
      </c>
      <c r="Q79" s="59">
        <v>15726.087893241771</v>
      </c>
      <c r="R79" s="59">
        <v>0</v>
      </c>
      <c r="S79" s="59">
        <v>0</v>
      </c>
      <c r="T79" s="59">
        <v>0</v>
      </c>
      <c r="U79" s="59">
        <v>0</v>
      </c>
      <c r="V79" s="59" t="e">
        <f>#REF!</f>
        <v>#REF!</v>
      </c>
      <c r="W79" s="59">
        <f>SUM(J79:U79)</f>
        <v>95834.414228489433</v>
      </c>
    </row>
    <row r="80" spans="8:23" x14ac:dyDescent="0.25">
      <c r="H80" s="101"/>
      <c r="I80" s="68" t="s">
        <v>10</v>
      </c>
      <c r="J80" s="59">
        <v>0</v>
      </c>
      <c r="K80" s="59">
        <v>0</v>
      </c>
      <c r="L80" s="59">
        <v>0</v>
      </c>
      <c r="M80" s="59">
        <v>0</v>
      </c>
      <c r="N80" s="59">
        <v>374.62685760796978</v>
      </c>
      <c r="O80" s="59">
        <v>3462.2277803124812</v>
      </c>
      <c r="P80" s="59">
        <v>3092.6250978519188</v>
      </c>
      <c r="Q80" s="59">
        <v>374.62685760796978</v>
      </c>
      <c r="R80" s="59">
        <v>0</v>
      </c>
      <c r="S80" s="59">
        <v>0</v>
      </c>
      <c r="T80" s="59">
        <v>0</v>
      </c>
      <c r="U80" s="59">
        <v>0</v>
      </c>
      <c r="V80" s="59" t="e">
        <f>#REF!</f>
        <v>#REF!</v>
      </c>
      <c r="W80" s="59">
        <f t="shared" ref="W80:W85" si="46">SUM(J80:U80)</f>
        <v>7304.1065933803393</v>
      </c>
    </row>
    <row r="81" spans="8:23" x14ac:dyDescent="0.25">
      <c r="H81" s="101"/>
      <c r="I81" s="68" t="s">
        <v>11</v>
      </c>
      <c r="J81" s="59">
        <v>0</v>
      </c>
      <c r="K81" s="59">
        <v>0</v>
      </c>
      <c r="L81" s="59">
        <v>0</v>
      </c>
      <c r="M81" s="59">
        <v>0</v>
      </c>
      <c r="N81" s="59">
        <v>457.88451035286039</v>
      </c>
      <c r="O81" s="59">
        <v>1067.5506277541272</v>
      </c>
      <c r="P81" s="59">
        <v>1910.1557099144911</v>
      </c>
      <c r="Q81" s="59">
        <v>456.40057780046044</v>
      </c>
      <c r="R81" s="59">
        <v>0</v>
      </c>
      <c r="S81" s="59">
        <v>0</v>
      </c>
      <c r="T81" s="59">
        <v>0</v>
      </c>
      <c r="U81" s="59">
        <v>0</v>
      </c>
      <c r="V81" s="59" t="e">
        <f>#REF!</f>
        <v>#REF!</v>
      </c>
      <c r="W81" s="59">
        <f t="shared" si="46"/>
        <v>3891.9914258219387</v>
      </c>
    </row>
    <row r="82" spans="8:23" x14ac:dyDescent="0.25">
      <c r="H82" s="101"/>
      <c r="I82" s="68">
        <v>1720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43958.56970308676</v>
      </c>
      <c r="P82" s="59">
        <v>52443.644664053885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 t="e">
        <f>#REF!</f>
        <v>#REF!</v>
      </c>
      <c r="W82" s="59">
        <f t="shared" si="46"/>
        <v>96402.214367140637</v>
      </c>
    </row>
    <row r="83" spans="8:23" x14ac:dyDescent="0.25">
      <c r="H83" s="101"/>
      <c r="I83" s="68">
        <v>1725</v>
      </c>
      <c r="J83" s="59">
        <v>0</v>
      </c>
      <c r="K83" s="59">
        <v>0</v>
      </c>
      <c r="L83" s="59">
        <v>0</v>
      </c>
      <c r="M83" s="59">
        <v>0</v>
      </c>
      <c r="N83" s="59">
        <v>15404.212126580611</v>
      </c>
      <c r="O83" s="59">
        <v>4932.3516073564897</v>
      </c>
      <c r="P83" s="59">
        <v>1078.7413395104343</v>
      </c>
      <c r="Q83" s="59">
        <v>9642.8163982475253</v>
      </c>
      <c r="R83" s="59">
        <v>0</v>
      </c>
      <c r="S83" s="59">
        <v>0</v>
      </c>
      <c r="T83" s="59">
        <v>0</v>
      </c>
      <c r="U83" s="59">
        <v>0</v>
      </c>
      <c r="V83" s="59" t="e">
        <f>#REF!</f>
        <v>#REF!</v>
      </c>
      <c r="W83" s="59">
        <f t="shared" si="46"/>
        <v>31058.121471695064</v>
      </c>
    </row>
    <row r="84" spans="8:23" x14ac:dyDescent="0.25">
      <c r="H84" s="101"/>
      <c r="I84" s="68">
        <v>1730</v>
      </c>
      <c r="J84" s="59">
        <v>0</v>
      </c>
      <c r="K84" s="59">
        <v>0</v>
      </c>
      <c r="L84" s="59">
        <v>0</v>
      </c>
      <c r="M84" s="59">
        <v>0</v>
      </c>
      <c r="N84" s="59">
        <v>19473.314398907478</v>
      </c>
      <c r="O84" s="59">
        <v>31951.24796132659</v>
      </c>
      <c r="P84" s="59">
        <v>48597.295028751949</v>
      </c>
      <c r="Q84" s="59">
        <v>14726.888075102592</v>
      </c>
      <c r="R84" s="59">
        <v>0</v>
      </c>
      <c r="S84" s="59">
        <v>0</v>
      </c>
      <c r="T84" s="59">
        <v>0</v>
      </c>
      <c r="U84" s="59">
        <v>0</v>
      </c>
      <c r="V84" s="59" t="e">
        <f>#REF!</f>
        <v>#REF!</v>
      </c>
      <c r="W84" s="59">
        <f t="shared" si="46"/>
        <v>114748.7454640886</v>
      </c>
    </row>
    <row r="85" spans="8:23" x14ac:dyDescent="0.25">
      <c r="H85" s="101"/>
      <c r="I85" s="55" t="s">
        <v>77</v>
      </c>
      <c r="J85" s="61">
        <f>SUM(J79:J84)</f>
        <v>0</v>
      </c>
      <c r="K85" s="61">
        <f t="shared" ref="K85:V85" si="47">SUM(K79:K84)</f>
        <v>0</v>
      </c>
      <c r="L85" s="61">
        <f t="shared" si="47"/>
        <v>0</v>
      </c>
      <c r="M85" s="61">
        <f t="shared" si="47"/>
        <v>0</v>
      </c>
      <c r="N85" s="61">
        <f t="shared" si="47"/>
        <v>51797.931634313092</v>
      </c>
      <c r="O85" s="61">
        <f t="shared" si="47"/>
        <v>108938.80751850666</v>
      </c>
      <c r="P85" s="61">
        <f t="shared" si="47"/>
        <v>147576.03459579597</v>
      </c>
      <c r="Q85" s="61">
        <f t="shared" si="47"/>
        <v>40926.819802000318</v>
      </c>
      <c r="R85" s="61">
        <f t="shared" si="47"/>
        <v>0</v>
      </c>
      <c r="S85" s="61">
        <f t="shared" si="47"/>
        <v>0</v>
      </c>
      <c r="T85" s="61">
        <f t="shared" si="47"/>
        <v>0</v>
      </c>
      <c r="U85" s="61">
        <f t="shared" si="47"/>
        <v>0</v>
      </c>
      <c r="V85" s="61" t="e">
        <f t="shared" si="47"/>
        <v>#REF!</v>
      </c>
      <c r="W85" s="61">
        <f t="shared" si="46"/>
        <v>349239.593550616</v>
      </c>
    </row>
    <row r="86" spans="8:23" x14ac:dyDescent="0.25">
      <c r="H86" s="94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6"/>
    </row>
    <row r="87" spans="8:23" x14ac:dyDescent="0.25">
      <c r="H87" s="101" t="s">
        <v>140</v>
      </c>
      <c r="I87" s="68">
        <v>1715</v>
      </c>
      <c r="J87" s="59">
        <f>J71+J79</f>
        <v>65580.962686429964</v>
      </c>
      <c r="K87" s="59">
        <f t="shared" ref="K87:U87" si="48">K71+K79</f>
        <v>65580.962686429964</v>
      </c>
      <c r="L87" s="59">
        <f t="shared" si="48"/>
        <v>65580.962686429964</v>
      </c>
      <c r="M87" s="59">
        <f t="shared" si="48"/>
        <v>65580.962686429964</v>
      </c>
      <c r="N87" s="59">
        <f t="shared" si="48"/>
        <v>81668.856427294129</v>
      </c>
      <c r="O87" s="59">
        <f t="shared" si="48"/>
        <v>105235.71626596435</v>
      </c>
      <c r="P87" s="59">
        <f t="shared" si="48"/>
        <v>145689.28902167763</v>
      </c>
      <c r="Q87" s="59">
        <f t="shared" si="48"/>
        <v>161415.37691491941</v>
      </c>
      <c r="R87" s="59">
        <f t="shared" si="48"/>
        <v>161415.37691491941</v>
      </c>
      <c r="S87" s="59">
        <f t="shared" si="48"/>
        <v>161415.37691491941</v>
      </c>
      <c r="T87" s="59">
        <f t="shared" si="48"/>
        <v>161415.37691491941</v>
      </c>
      <c r="U87" s="59">
        <f t="shared" si="48"/>
        <v>161415.37691491941</v>
      </c>
      <c r="V87" s="59">
        <f t="shared" ref="V87:V92" si="49">AVERAGE(J87:U87)</f>
        <v>116832.88308627106</v>
      </c>
      <c r="W87" s="69"/>
    </row>
    <row r="88" spans="8:23" x14ac:dyDescent="0.25">
      <c r="H88" s="101"/>
      <c r="I88" s="68" t="s">
        <v>10</v>
      </c>
      <c r="J88" s="59">
        <f t="shared" ref="J88:U92" si="50">J72+J80</f>
        <v>6655.3767286132816</v>
      </c>
      <c r="K88" s="59">
        <f t="shared" si="50"/>
        <v>6655.3767286132816</v>
      </c>
      <c r="L88" s="59">
        <f t="shared" si="50"/>
        <v>6655.3767286132816</v>
      </c>
      <c r="M88" s="59">
        <f t="shared" si="50"/>
        <v>6655.3767286132816</v>
      </c>
      <c r="N88" s="59">
        <f t="shared" si="50"/>
        <v>7030.0035862212517</v>
      </c>
      <c r="O88" s="59">
        <f t="shared" si="50"/>
        <v>10492.231366533733</v>
      </c>
      <c r="P88" s="59">
        <f t="shared" si="50"/>
        <v>13584.856464385652</v>
      </c>
      <c r="Q88" s="59">
        <f t="shared" si="50"/>
        <v>13959.483321993621</v>
      </c>
      <c r="R88" s="59">
        <f t="shared" si="50"/>
        <v>13959.483321993621</v>
      </c>
      <c r="S88" s="59">
        <f t="shared" si="50"/>
        <v>13959.483321993621</v>
      </c>
      <c r="T88" s="59">
        <f t="shared" si="50"/>
        <v>13959.483321993621</v>
      </c>
      <c r="U88" s="59">
        <f t="shared" si="50"/>
        <v>13959.483321993621</v>
      </c>
      <c r="V88" s="59">
        <f t="shared" si="49"/>
        <v>10627.167911796825</v>
      </c>
      <c r="W88" s="69"/>
    </row>
    <row r="89" spans="8:23" x14ac:dyDescent="0.25">
      <c r="H89" s="101"/>
      <c r="I89" s="68" t="s">
        <v>11</v>
      </c>
      <c r="J89" s="59">
        <f t="shared" si="50"/>
        <v>2884.4218895869426</v>
      </c>
      <c r="K89" s="59">
        <f t="shared" si="50"/>
        <v>2884.4218895869426</v>
      </c>
      <c r="L89" s="59">
        <f t="shared" si="50"/>
        <v>2884.4218895869426</v>
      </c>
      <c r="M89" s="59">
        <f t="shared" si="50"/>
        <v>2884.4218895869426</v>
      </c>
      <c r="N89" s="59">
        <f t="shared" si="50"/>
        <v>3342.3063999398028</v>
      </c>
      <c r="O89" s="59">
        <f t="shared" si="50"/>
        <v>4409.8570276939299</v>
      </c>
      <c r="P89" s="59">
        <f t="shared" si="50"/>
        <v>6320.012737608421</v>
      </c>
      <c r="Q89" s="59">
        <f t="shared" si="50"/>
        <v>6776.4133154088813</v>
      </c>
      <c r="R89" s="59">
        <f t="shared" si="50"/>
        <v>6776.4133154088813</v>
      </c>
      <c r="S89" s="59">
        <f t="shared" si="50"/>
        <v>6776.4133154088813</v>
      </c>
      <c r="T89" s="59">
        <f t="shared" si="50"/>
        <v>6776.4133154088813</v>
      </c>
      <c r="U89" s="59">
        <f t="shared" si="50"/>
        <v>6776.4133154088813</v>
      </c>
      <c r="V89" s="59">
        <f t="shared" si="49"/>
        <v>4957.6608583861935</v>
      </c>
      <c r="W89" s="69"/>
    </row>
    <row r="90" spans="8:23" x14ac:dyDescent="0.25">
      <c r="H90" s="101"/>
      <c r="I90" s="68">
        <v>1720</v>
      </c>
      <c r="J90" s="59">
        <f t="shared" si="50"/>
        <v>145009.15361523363</v>
      </c>
      <c r="K90" s="59">
        <f t="shared" si="50"/>
        <v>145009.15361523363</v>
      </c>
      <c r="L90" s="59">
        <f t="shared" si="50"/>
        <v>145009.15361523363</v>
      </c>
      <c r="M90" s="59">
        <f t="shared" si="50"/>
        <v>145009.15361523363</v>
      </c>
      <c r="N90" s="59">
        <f t="shared" si="50"/>
        <v>145009.15361523363</v>
      </c>
      <c r="O90" s="59">
        <f t="shared" si="50"/>
        <v>188967.72331832041</v>
      </c>
      <c r="P90" s="59">
        <f t="shared" si="50"/>
        <v>241411.3679823743</v>
      </c>
      <c r="Q90" s="59">
        <f t="shared" si="50"/>
        <v>241411.3679823743</v>
      </c>
      <c r="R90" s="59">
        <f t="shared" si="50"/>
        <v>241411.3679823743</v>
      </c>
      <c r="S90" s="59">
        <f t="shared" si="50"/>
        <v>241411.3679823743</v>
      </c>
      <c r="T90" s="59">
        <f t="shared" si="50"/>
        <v>241411.3679823743</v>
      </c>
      <c r="U90" s="59">
        <f t="shared" si="50"/>
        <v>241411.3679823743</v>
      </c>
      <c r="V90" s="59">
        <f t="shared" si="49"/>
        <v>196873.4749407279</v>
      </c>
      <c r="W90" s="69"/>
    </row>
    <row r="91" spans="8:23" x14ac:dyDescent="0.25">
      <c r="H91" s="101"/>
      <c r="I91" s="68">
        <v>1725</v>
      </c>
      <c r="J91" s="59">
        <f t="shared" si="50"/>
        <v>1727.7647165580745</v>
      </c>
      <c r="K91" s="59">
        <f t="shared" si="50"/>
        <v>1727.7647165580745</v>
      </c>
      <c r="L91" s="59">
        <f t="shared" si="50"/>
        <v>1727.7647165580745</v>
      </c>
      <c r="M91" s="59">
        <f t="shared" si="50"/>
        <v>1727.7647165580745</v>
      </c>
      <c r="N91" s="59">
        <f t="shared" si="50"/>
        <v>17131.976843138684</v>
      </c>
      <c r="O91" s="59">
        <f t="shared" si="50"/>
        <v>22064.328450495173</v>
      </c>
      <c r="P91" s="59">
        <f t="shared" si="50"/>
        <v>23143.069790005608</v>
      </c>
      <c r="Q91" s="59">
        <f t="shared" si="50"/>
        <v>32785.886188253135</v>
      </c>
      <c r="R91" s="59">
        <f t="shared" si="50"/>
        <v>32785.886188253135</v>
      </c>
      <c r="S91" s="59">
        <f t="shared" si="50"/>
        <v>32785.886188253135</v>
      </c>
      <c r="T91" s="59">
        <f t="shared" si="50"/>
        <v>32785.886188253135</v>
      </c>
      <c r="U91" s="59">
        <f t="shared" si="50"/>
        <v>32785.886188253135</v>
      </c>
      <c r="V91" s="59">
        <f t="shared" si="49"/>
        <v>19431.655407594782</v>
      </c>
      <c r="W91" s="69"/>
    </row>
    <row r="92" spans="8:23" x14ac:dyDescent="0.25">
      <c r="H92" s="101"/>
      <c r="I92" s="68">
        <v>1730</v>
      </c>
      <c r="J92" s="59">
        <f t="shared" si="50"/>
        <v>168192.80557201177</v>
      </c>
      <c r="K92" s="59">
        <f t="shared" si="50"/>
        <v>168192.80557201177</v>
      </c>
      <c r="L92" s="59">
        <f t="shared" si="50"/>
        <v>168192.80557201177</v>
      </c>
      <c r="M92" s="59">
        <f t="shared" si="50"/>
        <v>168192.80557201177</v>
      </c>
      <c r="N92" s="59">
        <f t="shared" si="50"/>
        <v>187666.11997091924</v>
      </c>
      <c r="O92" s="59">
        <f t="shared" si="50"/>
        <v>219617.36793224583</v>
      </c>
      <c r="P92" s="59">
        <f t="shared" si="50"/>
        <v>268214.66296099778</v>
      </c>
      <c r="Q92" s="59">
        <f t="shared" si="50"/>
        <v>282941.55103610037</v>
      </c>
      <c r="R92" s="59">
        <f t="shared" si="50"/>
        <v>282941.55103610037</v>
      </c>
      <c r="S92" s="59">
        <f t="shared" si="50"/>
        <v>282941.55103610037</v>
      </c>
      <c r="T92" s="59">
        <f t="shared" si="50"/>
        <v>282941.55103610037</v>
      </c>
      <c r="U92" s="59">
        <f t="shared" si="50"/>
        <v>282941.55103610037</v>
      </c>
      <c r="V92" s="59">
        <f t="shared" si="49"/>
        <v>230248.09402772598</v>
      </c>
      <c r="W92" s="69"/>
    </row>
    <row r="93" spans="8:23" x14ac:dyDescent="0.25">
      <c r="H93" s="101"/>
      <c r="I93" s="55" t="s">
        <v>77</v>
      </c>
      <c r="J93" s="61">
        <f>SUM(J87:J92)</f>
        <v>390050.48520843365</v>
      </c>
      <c r="K93" s="61">
        <f t="shared" ref="K93:V93" si="51">SUM(K87:K92)</f>
        <v>390050.48520843365</v>
      </c>
      <c r="L93" s="61">
        <f t="shared" si="51"/>
        <v>390050.48520843365</v>
      </c>
      <c r="M93" s="61">
        <f t="shared" si="51"/>
        <v>390050.48520843365</v>
      </c>
      <c r="N93" s="61">
        <f t="shared" si="51"/>
        <v>441848.41684274678</v>
      </c>
      <c r="O93" s="61">
        <f t="shared" si="51"/>
        <v>550787.22436125344</v>
      </c>
      <c r="P93" s="61">
        <f t="shared" si="51"/>
        <v>698363.25895704934</v>
      </c>
      <c r="Q93" s="61">
        <f t="shared" si="51"/>
        <v>739290.07875904976</v>
      </c>
      <c r="R93" s="61">
        <f t="shared" si="51"/>
        <v>739290.07875904976</v>
      </c>
      <c r="S93" s="61">
        <f t="shared" si="51"/>
        <v>739290.07875904976</v>
      </c>
      <c r="T93" s="61">
        <f t="shared" si="51"/>
        <v>739290.07875904976</v>
      </c>
      <c r="U93" s="61">
        <f t="shared" si="51"/>
        <v>739290.07875904976</v>
      </c>
      <c r="V93" s="61">
        <f t="shared" si="51"/>
        <v>578970.93623250281</v>
      </c>
      <c r="W93" s="69"/>
    </row>
    <row r="96" spans="8:23" x14ac:dyDescent="0.25">
      <c r="H96" s="94"/>
      <c r="I96" s="96"/>
      <c r="J96" s="59" t="s">
        <v>98</v>
      </c>
      <c r="K96" s="59" t="s">
        <v>99</v>
      </c>
      <c r="L96" s="59" t="s">
        <v>100</v>
      </c>
      <c r="M96" s="59" t="s">
        <v>101</v>
      </c>
      <c r="N96" s="59" t="s">
        <v>102</v>
      </c>
      <c r="O96" s="59" t="s">
        <v>103</v>
      </c>
      <c r="P96" s="59" t="s">
        <v>104</v>
      </c>
      <c r="Q96" s="59" t="s">
        <v>105</v>
      </c>
      <c r="R96" s="59" t="s">
        <v>106</v>
      </c>
      <c r="S96" s="59" t="s">
        <v>107</v>
      </c>
      <c r="T96" s="59" t="s">
        <v>108</v>
      </c>
      <c r="U96" s="59" t="s">
        <v>109</v>
      </c>
      <c r="V96" s="59" t="s">
        <v>110</v>
      </c>
      <c r="W96" s="63" t="s">
        <v>77</v>
      </c>
    </row>
    <row r="97" spans="8:23" x14ac:dyDescent="0.25">
      <c r="H97" s="101" t="s">
        <v>141</v>
      </c>
      <c r="I97" s="68">
        <v>1908</v>
      </c>
      <c r="J97" s="59">
        <v>0</v>
      </c>
      <c r="K97" s="59">
        <f>J113</f>
        <v>0</v>
      </c>
      <c r="L97" s="59">
        <f t="shared" ref="L97:U97" si="52">K113</f>
        <v>0</v>
      </c>
      <c r="M97" s="59">
        <f t="shared" si="52"/>
        <v>0</v>
      </c>
      <c r="N97" s="59">
        <f t="shared" si="52"/>
        <v>0</v>
      </c>
      <c r="O97" s="59">
        <f t="shared" si="52"/>
        <v>0</v>
      </c>
      <c r="P97" s="59">
        <f t="shared" si="52"/>
        <v>0</v>
      </c>
      <c r="Q97" s="59">
        <f t="shared" si="52"/>
        <v>0</v>
      </c>
      <c r="R97" s="59">
        <f t="shared" si="52"/>
        <v>0</v>
      </c>
      <c r="S97" s="59">
        <f t="shared" si="52"/>
        <v>0</v>
      </c>
      <c r="T97" s="59">
        <f t="shared" si="52"/>
        <v>5000</v>
      </c>
      <c r="U97" s="59">
        <f t="shared" si="52"/>
        <v>5000</v>
      </c>
      <c r="V97" s="59">
        <f>AVERAGE(J97:U97)</f>
        <v>833.33333333333337</v>
      </c>
      <c r="W97" s="69"/>
    </row>
    <row r="98" spans="8:23" x14ac:dyDescent="0.25">
      <c r="H98" s="101"/>
      <c r="I98" s="68">
        <v>1915</v>
      </c>
      <c r="J98" s="59">
        <v>0</v>
      </c>
      <c r="K98" s="59">
        <f t="shared" ref="K98:U99" si="53">J114</f>
        <v>0</v>
      </c>
      <c r="L98" s="59">
        <f t="shared" si="53"/>
        <v>0</v>
      </c>
      <c r="M98" s="59">
        <f t="shared" si="53"/>
        <v>0</v>
      </c>
      <c r="N98" s="59">
        <f t="shared" si="53"/>
        <v>0</v>
      </c>
      <c r="O98" s="59">
        <f t="shared" si="53"/>
        <v>0</v>
      </c>
      <c r="P98" s="59">
        <f t="shared" si="53"/>
        <v>40</v>
      </c>
      <c r="Q98" s="59">
        <f t="shared" si="53"/>
        <v>40</v>
      </c>
      <c r="R98" s="59">
        <f t="shared" si="53"/>
        <v>40</v>
      </c>
      <c r="S98" s="59">
        <f t="shared" si="53"/>
        <v>40</v>
      </c>
      <c r="T98" s="59">
        <f t="shared" si="53"/>
        <v>40</v>
      </c>
      <c r="U98" s="59">
        <f t="shared" si="53"/>
        <v>40</v>
      </c>
      <c r="V98" s="59">
        <f t="shared" ref="V98:V99" si="54">AVERAGE(J98:U98)</f>
        <v>20</v>
      </c>
      <c r="W98" s="69"/>
    </row>
    <row r="99" spans="8:23" x14ac:dyDescent="0.25">
      <c r="H99" s="101"/>
      <c r="I99" s="68">
        <v>1930</v>
      </c>
      <c r="J99" s="59">
        <v>220</v>
      </c>
      <c r="K99" s="59">
        <f t="shared" si="53"/>
        <v>270</v>
      </c>
      <c r="L99" s="59">
        <f t="shared" si="53"/>
        <v>270</v>
      </c>
      <c r="M99" s="59">
        <f t="shared" si="53"/>
        <v>270</v>
      </c>
      <c r="N99" s="59">
        <f t="shared" si="53"/>
        <v>270</v>
      </c>
      <c r="O99" s="59">
        <f t="shared" si="53"/>
        <v>270</v>
      </c>
      <c r="P99" s="59">
        <f t="shared" si="53"/>
        <v>270</v>
      </c>
      <c r="Q99" s="59">
        <f t="shared" si="53"/>
        <v>270</v>
      </c>
      <c r="R99" s="59">
        <f t="shared" si="53"/>
        <v>270</v>
      </c>
      <c r="S99" s="59">
        <f t="shared" si="53"/>
        <v>270</v>
      </c>
      <c r="T99" s="59">
        <f t="shared" si="53"/>
        <v>270</v>
      </c>
      <c r="U99" s="59">
        <f t="shared" si="53"/>
        <v>270</v>
      </c>
      <c r="V99" s="59">
        <f t="shared" si="54"/>
        <v>265.83333333333331</v>
      </c>
      <c r="W99" s="69"/>
    </row>
    <row r="100" spans="8:23" x14ac:dyDescent="0.25">
      <c r="H100" s="101"/>
      <c r="I100" s="68">
        <v>1611</v>
      </c>
      <c r="J100" s="59">
        <v>0</v>
      </c>
      <c r="K100" s="59">
        <f t="shared" ref="K100" si="55">J116</f>
        <v>500</v>
      </c>
      <c r="L100" s="59">
        <f t="shared" ref="L100" si="56">K116</f>
        <v>500</v>
      </c>
      <c r="M100" s="59">
        <f t="shared" ref="M100" si="57">L116</f>
        <v>500</v>
      </c>
      <c r="N100" s="59">
        <f t="shared" ref="N100" si="58">M116</f>
        <v>500</v>
      </c>
      <c r="O100" s="59">
        <f t="shared" ref="O100" si="59">N116</f>
        <v>500</v>
      </c>
      <c r="P100" s="59">
        <f t="shared" ref="P100" si="60">O116</f>
        <v>500</v>
      </c>
      <c r="Q100" s="59">
        <f t="shared" ref="Q100" si="61">P116</f>
        <v>500</v>
      </c>
      <c r="R100" s="59">
        <f t="shared" ref="R100" si="62">Q116</f>
        <v>500</v>
      </c>
      <c r="S100" s="59">
        <f t="shared" ref="S100" si="63">R116</f>
        <v>500</v>
      </c>
      <c r="T100" s="59">
        <f t="shared" ref="T100" si="64">S116</f>
        <v>500</v>
      </c>
      <c r="U100" s="59">
        <f t="shared" ref="U100" si="65">T116</f>
        <v>500</v>
      </c>
      <c r="V100" s="59">
        <f t="shared" ref="V100" si="66">AVERAGE(J100:U100)</f>
        <v>458.33333333333331</v>
      </c>
      <c r="W100" s="69"/>
    </row>
    <row r="101" spans="8:23" x14ac:dyDescent="0.25">
      <c r="H101" s="101"/>
      <c r="I101" s="68"/>
      <c r="J101" s="59">
        <v>0</v>
      </c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69"/>
    </row>
    <row r="102" spans="8:23" x14ac:dyDescent="0.25">
      <c r="H102" s="101"/>
      <c r="I102" s="68"/>
      <c r="J102" s="59">
        <v>0</v>
      </c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69"/>
    </row>
    <row r="103" spans="8:23" x14ac:dyDescent="0.25">
      <c r="H103" s="101"/>
      <c r="I103" s="55" t="s">
        <v>77</v>
      </c>
      <c r="J103" s="61">
        <f>SUM(J97:J102)</f>
        <v>220</v>
      </c>
      <c r="K103" s="61">
        <f t="shared" ref="K103:V103" si="67">SUM(K97:K102)</f>
        <v>770</v>
      </c>
      <c r="L103" s="61">
        <f t="shared" si="67"/>
        <v>770</v>
      </c>
      <c r="M103" s="61">
        <f t="shared" si="67"/>
        <v>770</v>
      </c>
      <c r="N103" s="61">
        <f t="shared" si="67"/>
        <v>770</v>
      </c>
      <c r="O103" s="61">
        <f t="shared" si="67"/>
        <v>770</v>
      </c>
      <c r="P103" s="61">
        <f t="shared" si="67"/>
        <v>810</v>
      </c>
      <c r="Q103" s="61">
        <f t="shared" si="67"/>
        <v>810</v>
      </c>
      <c r="R103" s="61">
        <f t="shared" si="67"/>
        <v>810</v>
      </c>
      <c r="S103" s="61">
        <f t="shared" si="67"/>
        <v>810</v>
      </c>
      <c r="T103" s="61">
        <f t="shared" si="67"/>
        <v>5810</v>
      </c>
      <c r="U103" s="61">
        <f t="shared" si="67"/>
        <v>5810</v>
      </c>
      <c r="V103" s="61">
        <f t="shared" si="67"/>
        <v>1577.5</v>
      </c>
      <c r="W103" s="69"/>
    </row>
    <row r="104" spans="8:23" x14ac:dyDescent="0.25">
      <c r="H104" s="94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6"/>
    </row>
    <row r="105" spans="8:23" x14ac:dyDescent="0.25">
      <c r="H105" s="101" t="s">
        <v>142</v>
      </c>
      <c r="I105" s="68">
        <v>1908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5000</v>
      </c>
      <c r="T105" s="59">
        <v>0</v>
      </c>
      <c r="U105" s="59">
        <v>0</v>
      </c>
      <c r="V105" s="59">
        <f t="shared" ref="V105:V108" si="68">AVERAGE(J105:U105)</f>
        <v>416.66666666666669</v>
      </c>
      <c r="W105" s="59">
        <f>SUM(J105:U105)</f>
        <v>5000</v>
      </c>
    </row>
    <row r="106" spans="8:23" x14ac:dyDescent="0.25">
      <c r="H106" s="101"/>
      <c r="I106" s="68">
        <v>1915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40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111.42</v>
      </c>
      <c r="V106" s="59">
        <f t="shared" si="68"/>
        <v>12.618333333333334</v>
      </c>
      <c r="W106" s="59">
        <f t="shared" ref="W106:W111" si="69">SUM(J106:U106)</f>
        <v>151.42000000000002</v>
      </c>
    </row>
    <row r="107" spans="8:23" x14ac:dyDescent="0.25">
      <c r="H107" s="101"/>
      <c r="I107" s="68">
        <v>1930</v>
      </c>
      <c r="J107" s="59">
        <v>50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f t="shared" si="68"/>
        <v>4.166666666666667</v>
      </c>
      <c r="W107" s="59">
        <f t="shared" si="69"/>
        <v>50</v>
      </c>
    </row>
    <row r="108" spans="8:23" x14ac:dyDescent="0.25">
      <c r="H108" s="101"/>
      <c r="I108" s="68">
        <v>1611</v>
      </c>
      <c r="J108" s="59">
        <v>500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f t="shared" si="68"/>
        <v>41.666666666666664</v>
      </c>
      <c r="W108" s="59">
        <f>SUM(J108:U108)</f>
        <v>500</v>
      </c>
    </row>
    <row r="109" spans="8:23" x14ac:dyDescent="0.25">
      <c r="H109" s="101"/>
      <c r="I109" s="68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>
        <f t="shared" si="69"/>
        <v>0</v>
      </c>
    </row>
    <row r="110" spans="8:23" x14ac:dyDescent="0.25">
      <c r="H110" s="101"/>
      <c r="I110" s="68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>
        <f t="shared" si="69"/>
        <v>0</v>
      </c>
    </row>
    <row r="111" spans="8:23" x14ac:dyDescent="0.25">
      <c r="H111" s="101"/>
      <c r="I111" s="55" t="s">
        <v>77</v>
      </c>
      <c r="J111" s="61">
        <f>SUM(J105:J110)</f>
        <v>550</v>
      </c>
      <c r="K111" s="61">
        <f t="shared" ref="K111:V111" si="70">SUM(K105:K110)</f>
        <v>0</v>
      </c>
      <c r="L111" s="61">
        <f t="shared" si="70"/>
        <v>0</v>
      </c>
      <c r="M111" s="61">
        <f t="shared" si="70"/>
        <v>0</v>
      </c>
      <c r="N111" s="61">
        <f t="shared" si="70"/>
        <v>0</v>
      </c>
      <c r="O111" s="61">
        <f t="shared" si="70"/>
        <v>40</v>
      </c>
      <c r="P111" s="61">
        <f t="shared" si="70"/>
        <v>0</v>
      </c>
      <c r="Q111" s="61">
        <f t="shared" si="70"/>
        <v>0</v>
      </c>
      <c r="R111" s="61">
        <f t="shared" si="70"/>
        <v>0</v>
      </c>
      <c r="S111" s="61">
        <f t="shared" si="70"/>
        <v>5000</v>
      </c>
      <c r="T111" s="61">
        <f t="shared" si="70"/>
        <v>0</v>
      </c>
      <c r="U111" s="61">
        <f t="shared" si="70"/>
        <v>111.42</v>
      </c>
      <c r="V111" s="61">
        <f t="shared" si="70"/>
        <v>475.1183333333334</v>
      </c>
      <c r="W111" s="61">
        <f t="shared" si="69"/>
        <v>5701.42</v>
      </c>
    </row>
    <row r="112" spans="8:23" x14ac:dyDescent="0.25">
      <c r="H112" s="94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6"/>
    </row>
    <row r="113" spans="8:23" x14ac:dyDescent="0.25">
      <c r="H113" s="101" t="s">
        <v>143</v>
      </c>
      <c r="I113" s="68">
        <v>1908</v>
      </c>
      <c r="J113" s="59">
        <f>J97+J105</f>
        <v>0</v>
      </c>
      <c r="K113" s="59">
        <f t="shared" ref="K113:U114" si="71">K97+K105</f>
        <v>0</v>
      </c>
      <c r="L113" s="59">
        <f t="shared" si="71"/>
        <v>0</v>
      </c>
      <c r="M113" s="59">
        <f t="shared" si="71"/>
        <v>0</v>
      </c>
      <c r="N113" s="59">
        <f t="shared" si="71"/>
        <v>0</v>
      </c>
      <c r="O113" s="59">
        <f t="shared" si="71"/>
        <v>0</v>
      </c>
      <c r="P113" s="59">
        <f t="shared" si="71"/>
        <v>0</v>
      </c>
      <c r="Q113" s="59">
        <f t="shared" si="71"/>
        <v>0</v>
      </c>
      <c r="R113" s="59">
        <f t="shared" si="71"/>
        <v>0</v>
      </c>
      <c r="S113" s="59">
        <f t="shared" si="71"/>
        <v>5000</v>
      </c>
      <c r="T113" s="59">
        <f t="shared" si="71"/>
        <v>5000</v>
      </c>
      <c r="U113" s="59">
        <f t="shared" si="71"/>
        <v>5000</v>
      </c>
      <c r="V113" s="59">
        <f t="shared" ref="V113:V115" si="72">AVERAGE(J113:U113)</f>
        <v>1250</v>
      </c>
      <c r="W113" s="69"/>
    </row>
    <row r="114" spans="8:23" x14ac:dyDescent="0.25">
      <c r="H114" s="101"/>
      <c r="I114" s="68">
        <v>1915</v>
      </c>
      <c r="J114" s="59">
        <f t="shared" ref="J114:U116" si="73">J98+J106</f>
        <v>0</v>
      </c>
      <c r="K114" s="59">
        <f t="shared" si="73"/>
        <v>0</v>
      </c>
      <c r="L114" s="59">
        <f t="shared" si="73"/>
        <v>0</v>
      </c>
      <c r="M114" s="59">
        <f t="shared" si="71"/>
        <v>0</v>
      </c>
      <c r="N114" s="59">
        <f t="shared" si="71"/>
        <v>0</v>
      </c>
      <c r="O114" s="59">
        <f t="shared" si="71"/>
        <v>40</v>
      </c>
      <c r="P114" s="59">
        <f t="shared" si="71"/>
        <v>40</v>
      </c>
      <c r="Q114" s="59">
        <f t="shared" si="71"/>
        <v>40</v>
      </c>
      <c r="R114" s="59">
        <f t="shared" si="71"/>
        <v>40</v>
      </c>
      <c r="S114" s="59">
        <f t="shared" si="71"/>
        <v>40</v>
      </c>
      <c r="T114" s="59">
        <f t="shared" si="71"/>
        <v>40</v>
      </c>
      <c r="U114" s="59">
        <f t="shared" si="71"/>
        <v>151.42000000000002</v>
      </c>
      <c r="V114" s="59">
        <f t="shared" si="72"/>
        <v>32.618333333333332</v>
      </c>
      <c r="W114" s="69"/>
    </row>
    <row r="115" spans="8:23" x14ac:dyDescent="0.25">
      <c r="H115" s="101"/>
      <c r="I115" s="68">
        <v>1930</v>
      </c>
      <c r="J115" s="59">
        <f t="shared" si="73"/>
        <v>270</v>
      </c>
      <c r="K115" s="59">
        <f t="shared" si="73"/>
        <v>270</v>
      </c>
      <c r="L115" s="59">
        <f t="shared" si="73"/>
        <v>270</v>
      </c>
      <c r="M115" s="59">
        <f t="shared" si="73"/>
        <v>270</v>
      </c>
      <c r="N115" s="59">
        <f t="shared" si="73"/>
        <v>270</v>
      </c>
      <c r="O115" s="59">
        <f t="shared" si="73"/>
        <v>270</v>
      </c>
      <c r="P115" s="59">
        <f t="shared" si="73"/>
        <v>270</v>
      </c>
      <c r="Q115" s="59">
        <f t="shared" si="73"/>
        <v>270</v>
      </c>
      <c r="R115" s="59">
        <f t="shared" si="73"/>
        <v>270</v>
      </c>
      <c r="S115" s="59">
        <f t="shared" si="73"/>
        <v>270</v>
      </c>
      <c r="T115" s="59">
        <f t="shared" si="73"/>
        <v>270</v>
      </c>
      <c r="U115" s="59">
        <f t="shared" si="73"/>
        <v>270</v>
      </c>
      <c r="V115" s="59">
        <f t="shared" si="72"/>
        <v>270</v>
      </c>
      <c r="W115" s="69"/>
    </row>
    <row r="116" spans="8:23" x14ac:dyDescent="0.25">
      <c r="H116" s="101"/>
      <c r="I116" s="68">
        <v>1611</v>
      </c>
      <c r="J116" s="59">
        <f t="shared" si="73"/>
        <v>500</v>
      </c>
      <c r="K116" s="59">
        <f t="shared" si="73"/>
        <v>500</v>
      </c>
      <c r="L116" s="59">
        <f t="shared" si="73"/>
        <v>500</v>
      </c>
      <c r="M116" s="59">
        <f t="shared" si="73"/>
        <v>500</v>
      </c>
      <c r="N116" s="59">
        <f t="shared" si="73"/>
        <v>500</v>
      </c>
      <c r="O116" s="59">
        <f t="shared" si="73"/>
        <v>500</v>
      </c>
      <c r="P116" s="59">
        <f t="shared" si="73"/>
        <v>500</v>
      </c>
      <c r="Q116" s="59">
        <f t="shared" si="73"/>
        <v>500</v>
      </c>
      <c r="R116" s="59">
        <f t="shared" si="73"/>
        <v>500</v>
      </c>
      <c r="S116" s="59">
        <f t="shared" si="73"/>
        <v>500</v>
      </c>
      <c r="T116" s="59">
        <f t="shared" si="73"/>
        <v>500</v>
      </c>
      <c r="U116" s="59">
        <f t="shared" si="73"/>
        <v>500</v>
      </c>
      <c r="V116" s="59">
        <f t="shared" ref="V116" si="74">AVERAGE(J116:U116)</f>
        <v>500</v>
      </c>
      <c r="W116" s="69"/>
    </row>
    <row r="117" spans="8:23" x14ac:dyDescent="0.25">
      <c r="H117" s="101"/>
      <c r="I117" s="68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69"/>
    </row>
    <row r="118" spans="8:23" x14ac:dyDescent="0.25">
      <c r="H118" s="101"/>
      <c r="I118" s="68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69"/>
    </row>
    <row r="119" spans="8:23" x14ac:dyDescent="0.25">
      <c r="H119" s="101"/>
      <c r="I119" s="55" t="s">
        <v>77</v>
      </c>
      <c r="J119" s="61">
        <f>SUM(J113:J118)</f>
        <v>770</v>
      </c>
      <c r="K119" s="61">
        <f t="shared" ref="K119:V119" si="75">SUM(K113:K118)</f>
        <v>770</v>
      </c>
      <c r="L119" s="61">
        <f t="shared" si="75"/>
        <v>770</v>
      </c>
      <c r="M119" s="61">
        <f t="shared" si="75"/>
        <v>770</v>
      </c>
      <c r="N119" s="61">
        <f t="shared" si="75"/>
        <v>770</v>
      </c>
      <c r="O119" s="61">
        <f t="shared" si="75"/>
        <v>810</v>
      </c>
      <c r="P119" s="61">
        <f t="shared" si="75"/>
        <v>810</v>
      </c>
      <c r="Q119" s="61">
        <f t="shared" si="75"/>
        <v>810</v>
      </c>
      <c r="R119" s="61">
        <f t="shared" si="75"/>
        <v>810</v>
      </c>
      <c r="S119" s="61">
        <f t="shared" si="75"/>
        <v>5810</v>
      </c>
      <c r="T119" s="61">
        <f t="shared" si="75"/>
        <v>5810</v>
      </c>
      <c r="U119" s="61">
        <f t="shared" si="75"/>
        <v>5921.42</v>
      </c>
      <c r="V119" s="61">
        <f t="shared" si="75"/>
        <v>2052.6183333333333</v>
      </c>
      <c r="W119" s="69"/>
    </row>
    <row r="123" spans="8:23" x14ac:dyDescent="0.25">
      <c r="H123" s="53" t="s">
        <v>144</v>
      </c>
    </row>
    <row r="124" spans="8:23" x14ac:dyDescent="0.25">
      <c r="H124" s="53"/>
    </row>
    <row r="125" spans="8:23" x14ac:dyDescent="0.25">
      <c r="H125" s="94"/>
      <c r="I125" s="96"/>
      <c r="J125" s="59" t="s">
        <v>98</v>
      </c>
      <c r="K125" s="59" t="s">
        <v>99</v>
      </c>
      <c r="L125" s="59" t="s">
        <v>100</v>
      </c>
      <c r="M125" s="59" t="s">
        <v>101</v>
      </c>
      <c r="N125" s="59" t="s">
        <v>102</v>
      </c>
      <c r="O125" s="59" t="s">
        <v>103</v>
      </c>
      <c r="P125" s="59" t="s">
        <v>104</v>
      </c>
      <c r="Q125" s="59" t="s">
        <v>105</v>
      </c>
      <c r="R125" s="59" t="s">
        <v>106</v>
      </c>
      <c r="S125" s="59" t="s">
        <v>107</v>
      </c>
      <c r="T125" s="59" t="s">
        <v>108</v>
      </c>
      <c r="U125" s="59" t="s">
        <v>109</v>
      </c>
      <c r="V125" s="59" t="s">
        <v>110</v>
      </c>
      <c r="W125" s="63" t="s">
        <v>77</v>
      </c>
    </row>
    <row r="126" spans="8:23" x14ac:dyDescent="0.25">
      <c r="H126" s="101" t="s">
        <v>135</v>
      </c>
      <c r="I126" s="68">
        <v>1715</v>
      </c>
      <c r="J126" s="59">
        <v>237.97242329454502</v>
      </c>
      <c r="K126" s="59">
        <f>J142</f>
        <v>297.46552911818128</v>
      </c>
      <c r="L126" s="59">
        <f t="shared" ref="L126:U126" si="76">K142</f>
        <v>356.95863494181754</v>
      </c>
      <c r="M126" s="59">
        <f t="shared" si="76"/>
        <v>416.45174076545379</v>
      </c>
      <c r="N126" s="59">
        <f t="shared" si="76"/>
        <v>475.94484658909005</v>
      </c>
      <c r="O126" s="59">
        <f t="shared" si="76"/>
        <v>535.4379524127263</v>
      </c>
      <c r="P126" s="59">
        <f t="shared" si="76"/>
        <v>594.93105823636256</v>
      </c>
      <c r="Q126" s="59">
        <f t="shared" si="76"/>
        <v>654.42416405999882</v>
      </c>
      <c r="R126" s="59">
        <f t="shared" si="76"/>
        <v>713.91726988363507</v>
      </c>
      <c r="S126" s="59">
        <f t="shared" si="76"/>
        <v>773.41037570727133</v>
      </c>
      <c r="T126" s="59">
        <f t="shared" si="76"/>
        <v>832.90348153090758</v>
      </c>
      <c r="U126" s="59">
        <f t="shared" si="76"/>
        <v>892.39658735454384</v>
      </c>
      <c r="V126" s="59">
        <f>AVERAGE(J126:U126)</f>
        <v>565.18450532454449</v>
      </c>
      <c r="W126" s="69"/>
    </row>
    <row r="127" spans="8:23" x14ac:dyDescent="0.25">
      <c r="H127" s="101"/>
      <c r="I127" s="68" t="s">
        <v>10</v>
      </c>
      <c r="J127" s="59">
        <v>52.01228572646648</v>
      </c>
      <c r="K127" s="59">
        <f t="shared" ref="K127:U131" si="77">J143</f>
        <v>65.015357158083106</v>
      </c>
      <c r="L127" s="59">
        <f t="shared" si="77"/>
        <v>78.018428589699724</v>
      </c>
      <c r="M127" s="59">
        <f t="shared" si="77"/>
        <v>91.021500021316342</v>
      </c>
      <c r="N127" s="59">
        <f t="shared" si="77"/>
        <v>104.02457145293296</v>
      </c>
      <c r="O127" s="59">
        <f t="shared" si="77"/>
        <v>117.02764288454958</v>
      </c>
      <c r="P127" s="59">
        <f t="shared" si="77"/>
        <v>130.03071431616621</v>
      </c>
      <c r="Q127" s="59">
        <f t="shared" si="77"/>
        <v>143.03378574778284</v>
      </c>
      <c r="R127" s="59">
        <f t="shared" si="77"/>
        <v>156.03685717939948</v>
      </c>
      <c r="S127" s="59">
        <f t="shared" si="77"/>
        <v>169.03992861101611</v>
      </c>
      <c r="T127" s="59">
        <f t="shared" si="77"/>
        <v>182.04300004263274</v>
      </c>
      <c r="U127" s="59">
        <f t="shared" si="77"/>
        <v>195.04607147424937</v>
      </c>
      <c r="V127" s="59">
        <f t="shared" ref="V127:V131" si="78">AVERAGE(J127:U127)</f>
        <v>123.52917860035791</v>
      </c>
      <c r="W127" s="69"/>
    </row>
    <row r="128" spans="8:23" x14ac:dyDescent="0.25">
      <c r="H128" s="101"/>
      <c r="I128" s="68" t="s">
        <v>11</v>
      </c>
      <c r="J128" s="59">
        <v>24.87707379521698</v>
      </c>
      <c r="K128" s="59">
        <f t="shared" si="77"/>
        <v>31.096342244021223</v>
      </c>
      <c r="L128" s="59">
        <f t="shared" si="77"/>
        <v>37.315610692825466</v>
      </c>
      <c r="M128" s="59">
        <f t="shared" si="77"/>
        <v>43.534879141629709</v>
      </c>
      <c r="N128" s="59">
        <f t="shared" si="77"/>
        <v>49.754147590433952</v>
      </c>
      <c r="O128" s="59">
        <f t="shared" si="77"/>
        <v>55.973416039238195</v>
      </c>
      <c r="P128" s="59">
        <f t="shared" si="77"/>
        <v>62.192684488042438</v>
      </c>
      <c r="Q128" s="59">
        <f t="shared" si="77"/>
        <v>68.411952936846689</v>
      </c>
      <c r="R128" s="59">
        <f t="shared" si="77"/>
        <v>74.631221385650932</v>
      </c>
      <c r="S128" s="59">
        <f t="shared" si="77"/>
        <v>80.850489834455175</v>
      </c>
      <c r="T128" s="59">
        <f t="shared" si="77"/>
        <v>87.069758283259418</v>
      </c>
      <c r="U128" s="59">
        <f t="shared" si="77"/>
        <v>93.289026732063661</v>
      </c>
      <c r="V128" s="59">
        <f t="shared" si="78"/>
        <v>59.083050263640324</v>
      </c>
      <c r="W128" s="69"/>
    </row>
    <row r="129" spans="8:27" x14ac:dyDescent="0.25">
      <c r="H129" s="101"/>
      <c r="I129" s="68">
        <v>1720</v>
      </c>
      <c r="J129" s="59">
        <v>628.15889195270711</v>
      </c>
      <c r="K129" s="59">
        <f t="shared" si="77"/>
        <v>785.19861494088389</v>
      </c>
      <c r="L129" s="59">
        <f t="shared" si="77"/>
        <v>942.23833792906066</v>
      </c>
      <c r="M129" s="59">
        <f t="shared" si="77"/>
        <v>1099.2780609172373</v>
      </c>
      <c r="N129" s="59">
        <f t="shared" si="77"/>
        <v>1256.3177839054142</v>
      </c>
      <c r="O129" s="59">
        <f t="shared" si="77"/>
        <v>1413.3575068935911</v>
      </c>
      <c r="P129" s="59">
        <f t="shared" si="77"/>
        <v>1570.397229881768</v>
      </c>
      <c r="Q129" s="59">
        <f t="shared" si="77"/>
        <v>1727.4369528699449</v>
      </c>
      <c r="R129" s="59">
        <f t="shared" si="77"/>
        <v>1884.4766758581218</v>
      </c>
      <c r="S129" s="59">
        <f t="shared" si="77"/>
        <v>2041.5163988462987</v>
      </c>
      <c r="T129" s="59">
        <f t="shared" si="77"/>
        <v>2198.5561218344756</v>
      </c>
      <c r="U129" s="59">
        <f t="shared" si="77"/>
        <v>2355.5958448226525</v>
      </c>
      <c r="V129" s="59">
        <f t="shared" si="78"/>
        <v>1491.8773683876798</v>
      </c>
      <c r="W129" s="69"/>
    </row>
    <row r="130" spans="8:27" x14ac:dyDescent="0.25">
      <c r="H130" s="101"/>
      <c r="I130" s="68">
        <v>1725</v>
      </c>
      <c r="J130" s="59">
        <v>0</v>
      </c>
      <c r="K130" s="59">
        <f t="shared" si="77"/>
        <v>0</v>
      </c>
      <c r="L130" s="59">
        <f t="shared" si="77"/>
        <v>0</v>
      </c>
      <c r="M130" s="59">
        <f t="shared" si="77"/>
        <v>0</v>
      </c>
      <c r="N130" s="59">
        <f t="shared" si="77"/>
        <v>0</v>
      </c>
      <c r="O130" s="59">
        <f t="shared" si="77"/>
        <v>0</v>
      </c>
      <c r="P130" s="59">
        <f t="shared" si="77"/>
        <v>0</v>
      </c>
      <c r="Q130" s="59">
        <f t="shared" si="77"/>
        <v>0</v>
      </c>
      <c r="R130" s="59">
        <f t="shared" si="77"/>
        <v>0</v>
      </c>
      <c r="S130" s="59">
        <f t="shared" si="77"/>
        <v>0</v>
      </c>
      <c r="T130" s="59">
        <f t="shared" si="77"/>
        <v>0</v>
      </c>
      <c r="U130" s="59">
        <f t="shared" si="77"/>
        <v>0</v>
      </c>
      <c r="V130" s="59">
        <f t="shared" si="78"/>
        <v>0</v>
      </c>
      <c r="W130" s="69"/>
    </row>
    <row r="131" spans="8:27" x14ac:dyDescent="0.25">
      <c r="H131" s="101"/>
      <c r="I131" s="68">
        <v>1730</v>
      </c>
      <c r="J131" s="59">
        <v>990.74102742323669</v>
      </c>
      <c r="K131" s="59">
        <f t="shared" si="77"/>
        <v>1238.4262842790458</v>
      </c>
      <c r="L131" s="59">
        <f t="shared" si="77"/>
        <v>1486.1115411348551</v>
      </c>
      <c r="M131" s="59">
        <f t="shared" si="77"/>
        <v>1733.7967979906643</v>
      </c>
      <c r="N131" s="59">
        <f t="shared" si="77"/>
        <v>1981.4820548464736</v>
      </c>
      <c r="O131" s="59">
        <f t="shared" si="77"/>
        <v>2229.1673117022829</v>
      </c>
      <c r="P131" s="59">
        <f t="shared" si="77"/>
        <v>2476.8525685580921</v>
      </c>
      <c r="Q131" s="59">
        <f t="shared" si="77"/>
        <v>2724.5378254139014</v>
      </c>
      <c r="R131" s="59">
        <f t="shared" si="77"/>
        <v>2972.2230822697106</v>
      </c>
      <c r="S131" s="59">
        <f t="shared" si="77"/>
        <v>3219.9083391255199</v>
      </c>
      <c r="T131" s="59">
        <f t="shared" si="77"/>
        <v>3467.5935959813291</v>
      </c>
      <c r="U131" s="59">
        <f t="shared" si="77"/>
        <v>3715.2788528371384</v>
      </c>
      <c r="V131" s="59">
        <f t="shared" si="78"/>
        <v>2353.0099401301873</v>
      </c>
      <c r="W131" s="69"/>
    </row>
    <row r="132" spans="8:27" x14ac:dyDescent="0.25">
      <c r="H132" s="101"/>
      <c r="I132" s="55" t="s">
        <v>77</v>
      </c>
      <c r="J132" s="61">
        <f>SUM(J126:J131)</f>
        <v>1933.7617021921724</v>
      </c>
      <c r="K132" s="61">
        <f t="shared" ref="K132:V132" si="79">SUM(K126:K131)</f>
        <v>2417.2021277402155</v>
      </c>
      <c r="L132" s="61">
        <f t="shared" si="79"/>
        <v>2900.6425532882586</v>
      </c>
      <c r="M132" s="61">
        <f t="shared" si="79"/>
        <v>3384.0829788363017</v>
      </c>
      <c r="N132" s="61">
        <f t="shared" si="79"/>
        <v>3867.5234043843448</v>
      </c>
      <c r="O132" s="61">
        <f t="shared" si="79"/>
        <v>4350.9638299323879</v>
      </c>
      <c r="P132" s="61">
        <f t="shared" si="79"/>
        <v>4834.4042554804309</v>
      </c>
      <c r="Q132" s="61">
        <f t="shared" si="79"/>
        <v>5317.844681028475</v>
      </c>
      <c r="R132" s="61">
        <f t="shared" si="79"/>
        <v>5801.285106576518</v>
      </c>
      <c r="S132" s="61">
        <f t="shared" si="79"/>
        <v>6284.7255321245611</v>
      </c>
      <c r="T132" s="61">
        <f t="shared" si="79"/>
        <v>6768.1659576726051</v>
      </c>
      <c r="U132" s="61">
        <f t="shared" si="79"/>
        <v>7251.6063832206473</v>
      </c>
      <c r="V132" s="61">
        <f t="shared" si="79"/>
        <v>4592.6840427064099</v>
      </c>
      <c r="W132" s="70"/>
    </row>
    <row r="133" spans="8:27" x14ac:dyDescent="0.25">
      <c r="H133" s="94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6"/>
      <c r="Z133" s="51" t="s">
        <v>145</v>
      </c>
      <c r="AA133" s="51" t="s">
        <v>146</v>
      </c>
    </row>
    <row r="134" spans="8:27" x14ac:dyDescent="0.25">
      <c r="H134" s="101" t="s">
        <v>136</v>
      </c>
      <c r="I134" s="68">
        <v>1715</v>
      </c>
      <c r="J134" s="59">
        <f>J45*$AA134</f>
        <v>59.493105823636256</v>
      </c>
      <c r="K134" s="59">
        <f t="shared" ref="K134:U134" si="80">K45*$AA134</f>
        <v>59.493105823636256</v>
      </c>
      <c r="L134" s="59">
        <f t="shared" si="80"/>
        <v>59.493105823636256</v>
      </c>
      <c r="M134" s="59">
        <f t="shared" si="80"/>
        <v>59.493105823636256</v>
      </c>
      <c r="N134" s="59">
        <f t="shared" si="80"/>
        <v>59.493105823636256</v>
      </c>
      <c r="O134" s="59">
        <f t="shared" si="80"/>
        <v>59.493105823636256</v>
      </c>
      <c r="P134" s="59">
        <f t="shared" si="80"/>
        <v>59.493105823636256</v>
      </c>
      <c r="Q134" s="59">
        <f t="shared" si="80"/>
        <v>59.493105823636256</v>
      </c>
      <c r="R134" s="59">
        <f t="shared" si="80"/>
        <v>59.493105823636256</v>
      </c>
      <c r="S134" s="59">
        <f t="shared" si="80"/>
        <v>59.493105823636256</v>
      </c>
      <c r="T134" s="59">
        <f t="shared" si="80"/>
        <v>59.493105823636256</v>
      </c>
      <c r="U134" s="59">
        <f t="shared" si="80"/>
        <v>59.493105823636256</v>
      </c>
      <c r="V134" s="59">
        <f t="shared" ref="V134:V139" si="81">AVERAGE(J134:U134)</f>
        <v>59.493105823636256</v>
      </c>
      <c r="W134" s="59">
        <f t="shared" ref="W134:W140" si="82">SUM(J134:U134)</f>
        <v>713.91726988363507</v>
      </c>
      <c r="Z134" s="72">
        <v>0.02</v>
      </c>
      <c r="AA134" s="73">
        <f t="shared" ref="AA134:AA139" si="83">Z134/12</f>
        <v>1.6666666666666668E-3</v>
      </c>
    </row>
    <row r="135" spans="8:27" x14ac:dyDescent="0.25">
      <c r="H135" s="101"/>
      <c r="I135" s="68" t="s">
        <v>10</v>
      </c>
      <c r="J135" s="59">
        <f t="shared" ref="J135:U139" si="84">J46*$AA135</f>
        <v>13.00307143161662</v>
      </c>
      <c r="K135" s="59">
        <f t="shared" si="84"/>
        <v>13.00307143161662</v>
      </c>
      <c r="L135" s="59">
        <f t="shared" si="84"/>
        <v>13.00307143161662</v>
      </c>
      <c r="M135" s="59">
        <f t="shared" si="84"/>
        <v>13.00307143161662</v>
      </c>
      <c r="N135" s="59">
        <f t="shared" si="84"/>
        <v>13.00307143161662</v>
      </c>
      <c r="O135" s="59">
        <f t="shared" si="84"/>
        <v>13.00307143161662</v>
      </c>
      <c r="P135" s="59">
        <f t="shared" si="84"/>
        <v>13.00307143161662</v>
      </c>
      <c r="Q135" s="59">
        <f t="shared" si="84"/>
        <v>13.00307143161662</v>
      </c>
      <c r="R135" s="59">
        <f t="shared" si="84"/>
        <v>13.00307143161662</v>
      </c>
      <c r="S135" s="59">
        <f t="shared" si="84"/>
        <v>13.00307143161662</v>
      </c>
      <c r="T135" s="59">
        <f t="shared" si="84"/>
        <v>13.00307143161662</v>
      </c>
      <c r="U135" s="59">
        <f t="shared" si="84"/>
        <v>13.00307143161662</v>
      </c>
      <c r="V135" s="59">
        <f t="shared" si="81"/>
        <v>13.003071431616624</v>
      </c>
      <c r="W135" s="59">
        <f t="shared" si="82"/>
        <v>156.03685717939948</v>
      </c>
      <c r="Z135" s="72">
        <v>2.5000000000000001E-2</v>
      </c>
      <c r="AA135" s="73">
        <f t="shared" si="83"/>
        <v>2.0833333333333333E-3</v>
      </c>
    </row>
    <row r="136" spans="8:27" x14ac:dyDescent="0.25">
      <c r="H136" s="101"/>
      <c r="I136" s="68" t="s">
        <v>11</v>
      </c>
      <c r="J136" s="59">
        <f t="shared" si="84"/>
        <v>6.2192684488042449</v>
      </c>
      <c r="K136" s="59">
        <f t="shared" si="84"/>
        <v>6.2192684488042449</v>
      </c>
      <c r="L136" s="59">
        <f t="shared" si="84"/>
        <v>6.2192684488042449</v>
      </c>
      <c r="M136" s="59">
        <f t="shared" si="84"/>
        <v>6.2192684488042449</v>
      </c>
      <c r="N136" s="59">
        <f t="shared" si="84"/>
        <v>6.2192684488042449</v>
      </c>
      <c r="O136" s="59">
        <f t="shared" si="84"/>
        <v>6.2192684488042449</v>
      </c>
      <c r="P136" s="59">
        <f t="shared" si="84"/>
        <v>6.2192684488042449</v>
      </c>
      <c r="Q136" s="59">
        <f t="shared" si="84"/>
        <v>6.2192684488042449</v>
      </c>
      <c r="R136" s="59">
        <f t="shared" si="84"/>
        <v>6.2192684488042449</v>
      </c>
      <c r="S136" s="59">
        <f t="shared" si="84"/>
        <v>6.2192684488042449</v>
      </c>
      <c r="T136" s="59">
        <f t="shared" si="84"/>
        <v>6.2192684488042449</v>
      </c>
      <c r="U136" s="59">
        <f t="shared" si="84"/>
        <v>6.2192684488042449</v>
      </c>
      <c r="V136" s="59">
        <f t="shared" si="81"/>
        <v>6.219268448804244</v>
      </c>
      <c r="W136" s="59">
        <f t="shared" si="82"/>
        <v>74.631221385650932</v>
      </c>
      <c r="Z136" s="72">
        <v>0.05</v>
      </c>
      <c r="AA136" s="73">
        <f t="shared" si="83"/>
        <v>4.1666666666666666E-3</v>
      </c>
    </row>
    <row r="137" spans="8:27" x14ac:dyDescent="0.25">
      <c r="H137" s="101"/>
      <c r="I137" s="68">
        <v>1720</v>
      </c>
      <c r="J137" s="59">
        <f t="shared" si="84"/>
        <v>157.03972298817678</v>
      </c>
      <c r="K137" s="59">
        <f t="shared" si="84"/>
        <v>157.03972298817678</v>
      </c>
      <c r="L137" s="59">
        <f t="shared" si="84"/>
        <v>157.03972298817678</v>
      </c>
      <c r="M137" s="59">
        <f t="shared" si="84"/>
        <v>157.03972298817678</v>
      </c>
      <c r="N137" s="59">
        <f t="shared" si="84"/>
        <v>157.03972298817678</v>
      </c>
      <c r="O137" s="59">
        <f t="shared" si="84"/>
        <v>157.03972298817678</v>
      </c>
      <c r="P137" s="59">
        <f t="shared" si="84"/>
        <v>157.03972298817678</v>
      </c>
      <c r="Q137" s="59">
        <f t="shared" si="84"/>
        <v>157.03972298817678</v>
      </c>
      <c r="R137" s="59">
        <f t="shared" si="84"/>
        <v>157.03972298817678</v>
      </c>
      <c r="S137" s="59">
        <f t="shared" si="84"/>
        <v>157.03972298817678</v>
      </c>
      <c r="T137" s="59">
        <f t="shared" si="84"/>
        <v>157.03972298817678</v>
      </c>
      <c r="U137" s="59">
        <f t="shared" si="84"/>
        <v>157.03972298817678</v>
      </c>
      <c r="V137" s="59">
        <f t="shared" si="81"/>
        <v>157.03972298817681</v>
      </c>
      <c r="W137" s="59">
        <f t="shared" si="82"/>
        <v>1884.4766758581218</v>
      </c>
      <c r="Z137" s="72">
        <v>1.6666666666666666E-2</v>
      </c>
      <c r="AA137" s="73">
        <f t="shared" si="83"/>
        <v>1.3888888888888889E-3</v>
      </c>
    </row>
    <row r="138" spans="8:27" x14ac:dyDescent="0.25">
      <c r="H138" s="101"/>
      <c r="I138" s="68">
        <v>1725</v>
      </c>
      <c r="J138" s="59">
        <f t="shared" si="84"/>
        <v>0</v>
      </c>
      <c r="K138" s="59">
        <f t="shared" si="84"/>
        <v>0</v>
      </c>
      <c r="L138" s="59">
        <f t="shared" si="84"/>
        <v>0</v>
      </c>
      <c r="M138" s="59">
        <f t="shared" si="84"/>
        <v>0</v>
      </c>
      <c r="N138" s="59">
        <f t="shared" si="84"/>
        <v>0</v>
      </c>
      <c r="O138" s="59">
        <f t="shared" si="84"/>
        <v>0</v>
      </c>
      <c r="P138" s="59">
        <f t="shared" si="84"/>
        <v>0</v>
      </c>
      <c r="Q138" s="59">
        <f t="shared" si="84"/>
        <v>0</v>
      </c>
      <c r="R138" s="59">
        <f t="shared" si="84"/>
        <v>0</v>
      </c>
      <c r="S138" s="59">
        <f t="shared" si="84"/>
        <v>0</v>
      </c>
      <c r="T138" s="59">
        <f t="shared" si="84"/>
        <v>0</v>
      </c>
      <c r="U138" s="59">
        <f t="shared" si="84"/>
        <v>0</v>
      </c>
      <c r="V138" s="59">
        <f t="shared" si="81"/>
        <v>0</v>
      </c>
      <c r="W138" s="59">
        <f t="shared" si="82"/>
        <v>0</v>
      </c>
      <c r="Z138" s="72">
        <v>2.2222222222222223E-2</v>
      </c>
      <c r="AA138" s="73">
        <f t="shared" si="83"/>
        <v>1.8518518518518519E-3</v>
      </c>
    </row>
    <row r="139" spans="8:27" x14ac:dyDescent="0.25">
      <c r="H139" s="101"/>
      <c r="I139" s="68">
        <v>1730</v>
      </c>
      <c r="J139" s="59">
        <f t="shared" si="84"/>
        <v>247.68525685580917</v>
      </c>
      <c r="K139" s="59">
        <f t="shared" si="84"/>
        <v>247.68525685580917</v>
      </c>
      <c r="L139" s="59">
        <f t="shared" si="84"/>
        <v>247.68525685580917</v>
      </c>
      <c r="M139" s="59">
        <f t="shared" si="84"/>
        <v>247.68525685580917</v>
      </c>
      <c r="N139" s="59">
        <f t="shared" si="84"/>
        <v>247.68525685580917</v>
      </c>
      <c r="O139" s="59">
        <f t="shared" si="84"/>
        <v>247.68525685580917</v>
      </c>
      <c r="P139" s="59">
        <f t="shared" si="84"/>
        <v>247.68525685580917</v>
      </c>
      <c r="Q139" s="59">
        <f t="shared" si="84"/>
        <v>247.68525685580917</v>
      </c>
      <c r="R139" s="59">
        <f t="shared" si="84"/>
        <v>247.68525685580917</v>
      </c>
      <c r="S139" s="59">
        <f t="shared" si="84"/>
        <v>247.68525685580917</v>
      </c>
      <c r="T139" s="59">
        <f t="shared" si="84"/>
        <v>247.68525685580917</v>
      </c>
      <c r="U139" s="59">
        <f t="shared" si="84"/>
        <v>247.68525685580917</v>
      </c>
      <c r="V139" s="59">
        <f t="shared" si="81"/>
        <v>247.68525685580923</v>
      </c>
      <c r="W139" s="59">
        <f t="shared" si="82"/>
        <v>2972.2230822697106</v>
      </c>
      <c r="Z139" s="72">
        <v>2.2222222222222223E-2</v>
      </c>
      <c r="AA139" s="73">
        <f t="shared" si="83"/>
        <v>1.8518518518518519E-3</v>
      </c>
    </row>
    <row r="140" spans="8:27" x14ac:dyDescent="0.25">
      <c r="H140" s="101"/>
      <c r="I140" s="55" t="s">
        <v>77</v>
      </c>
      <c r="J140" s="61">
        <f>SUM(J134:J139)</f>
        <v>483.44042554804309</v>
      </c>
      <c r="K140" s="61">
        <f t="shared" ref="K140:V140" si="85">SUM(K134:K139)</f>
        <v>483.44042554804309</v>
      </c>
      <c r="L140" s="61">
        <f t="shared" si="85"/>
        <v>483.44042554804309</v>
      </c>
      <c r="M140" s="61">
        <f t="shared" si="85"/>
        <v>483.44042554804309</v>
      </c>
      <c r="N140" s="61">
        <f t="shared" si="85"/>
        <v>483.44042554804309</v>
      </c>
      <c r="O140" s="61">
        <f t="shared" si="85"/>
        <v>483.44042554804309</v>
      </c>
      <c r="P140" s="61">
        <f t="shared" si="85"/>
        <v>483.44042554804309</v>
      </c>
      <c r="Q140" s="61">
        <f t="shared" si="85"/>
        <v>483.44042554804309</v>
      </c>
      <c r="R140" s="61">
        <f t="shared" si="85"/>
        <v>483.44042554804309</v>
      </c>
      <c r="S140" s="61">
        <f t="shared" si="85"/>
        <v>483.44042554804309</v>
      </c>
      <c r="T140" s="61">
        <f t="shared" si="85"/>
        <v>483.44042554804309</v>
      </c>
      <c r="U140" s="61">
        <f t="shared" si="85"/>
        <v>483.44042554804309</v>
      </c>
      <c r="V140" s="61">
        <f t="shared" si="85"/>
        <v>483.44042554804315</v>
      </c>
      <c r="W140" s="61">
        <f t="shared" si="82"/>
        <v>5801.2851065765171</v>
      </c>
    </row>
    <row r="141" spans="8:27" x14ac:dyDescent="0.25">
      <c r="H141" s="94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6"/>
    </row>
    <row r="142" spans="8:27" x14ac:dyDescent="0.25">
      <c r="H142" s="101" t="s">
        <v>137</v>
      </c>
      <c r="I142" s="68">
        <v>1715</v>
      </c>
      <c r="J142" s="59">
        <f>J126+J134</f>
        <v>297.46552911818128</v>
      </c>
      <c r="K142" s="59">
        <f t="shared" ref="K142:U142" si="86">K126+K134</f>
        <v>356.95863494181754</v>
      </c>
      <c r="L142" s="59">
        <f t="shared" si="86"/>
        <v>416.45174076545379</v>
      </c>
      <c r="M142" s="59">
        <f t="shared" si="86"/>
        <v>475.94484658909005</v>
      </c>
      <c r="N142" s="59">
        <f t="shared" si="86"/>
        <v>535.4379524127263</v>
      </c>
      <c r="O142" s="59">
        <f t="shared" si="86"/>
        <v>594.93105823636256</v>
      </c>
      <c r="P142" s="59">
        <f t="shared" si="86"/>
        <v>654.42416405999882</v>
      </c>
      <c r="Q142" s="59">
        <f t="shared" si="86"/>
        <v>713.91726988363507</v>
      </c>
      <c r="R142" s="59">
        <f t="shared" si="86"/>
        <v>773.41037570727133</v>
      </c>
      <c r="S142" s="59">
        <f t="shared" si="86"/>
        <v>832.90348153090758</v>
      </c>
      <c r="T142" s="59">
        <f t="shared" si="86"/>
        <v>892.39658735454384</v>
      </c>
      <c r="U142" s="59">
        <f t="shared" si="86"/>
        <v>951.8896931781801</v>
      </c>
      <c r="V142" s="59">
        <f t="shared" ref="V142:V147" si="87">AVERAGE(J142:U142)</f>
        <v>624.67761114818074</v>
      </c>
      <c r="W142" s="69"/>
    </row>
    <row r="143" spans="8:27" x14ac:dyDescent="0.25">
      <c r="H143" s="101"/>
      <c r="I143" s="68" t="s">
        <v>10</v>
      </c>
      <c r="J143" s="59">
        <f t="shared" ref="J143:U147" si="88">J127+J135</f>
        <v>65.015357158083106</v>
      </c>
      <c r="K143" s="59">
        <f t="shared" si="88"/>
        <v>78.018428589699724</v>
      </c>
      <c r="L143" s="59">
        <f t="shared" si="88"/>
        <v>91.021500021316342</v>
      </c>
      <c r="M143" s="59">
        <f t="shared" si="88"/>
        <v>104.02457145293296</v>
      </c>
      <c r="N143" s="59">
        <f t="shared" si="88"/>
        <v>117.02764288454958</v>
      </c>
      <c r="O143" s="59">
        <f t="shared" si="88"/>
        <v>130.03071431616621</v>
      </c>
      <c r="P143" s="59">
        <f t="shared" si="88"/>
        <v>143.03378574778284</v>
      </c>
      <c r="Q143" s="59">
        <f t="shared" si="88"/>
        <v>156.03685717939948</v>
      </c>
      <c r="R143" s="59">
        <f t="shared" si="88"/>
        <v>169.03992861101611</v>
      </c>
      <c r="S143" s="59">
        <f t="shared" si="88"/>
        <v>182.04300004263274</v>
      </c>
      <c r="T143" s="59">
        <f t="shared" si="88"/>
        <v>195.04607147424937</v>
      </c>
      <c r="U143" s="59">
        <f t="shared" si="88"/>
        <v>208.04914290586601</v>
      </c>
      <c r="V143" s="59">
        <f t="shared" si="87"/>
        <v>136.53225003197454</v>
      </c>
      <c r="W143" s="69"/>
    </row>
    <row r="144" spans="8:27" x14ac:dyDescent="0.25">
      <c r="H144" s="101"/>
      <c r="I144" s="68" t="s">
        <v>11</v>
      </c>
      <c r="J144" s="59">
        <f t="shared" si="88"/>
        <v>31.096342244021223</v>
      </c>
      <c r="K144" s="59">
        <f t="shared" si="88"/>
        <v>37.315610692825466</v>
      </c>
      <c r="L144" s="59">
        <f t="shared" si="88"/>
        <v>43.534879141629709</v>
      </c>
      <c r="M144" s="59">
        <f t="shared" si="88"/>
        <v>49.754147590433952</v>
      </c>
      <c r="N144" s="59">
        <f t="shared" si="88"/>
        <v>55.973416039238195</v>
      </c>
      <c r="O144" s="59">
        <f t="shared" si="88"/>
        <v>62.192684488042438</v>
      </c>
      <c r="P144" s="59">
        <f t="shared" si="88"/>
        <v>68.411952936846689</v>
      </c>
      <c r="Q144" s="59">
        <f t="shared" si="88"/>
        <v>74.631221385650932</v>
      </c>
      <c r="R144" s="59">
        <f t="shared" si="88"/>
        <v>80.850489834455175</v>
      </c>
      <c r="S144" s="59">
        <f t="shared" si="88"/>
        <v>87.069758283259418</v>
      </c>
      <c r="T144" s="59">
        <f t="shared" si="88"/>
        <v>93.289026732063661</v>
      </c>
      <c r="U144" s="59">
        <f t="shared" si="88"/>
        <v>99.508295180867904</v>
      </c>
      <c r="V144" s="59">
        <f t="shared" si="87"/>
        <v>65.302318712444574</v>
      </c>
      <c r="W144" s="69"/>
    </row>
    <row r="145" spans="8:27" x14ac:dyDescent="0.25">
      <c r="H145" s="101"/>
      <c r="I145" s="68">
        <v>1720</v>
      </c>
      <c r="J145" s="59">
        <f t="shared" si="88"/>
        <v>785.19861494088389</v>
      </c>
      <c r="K145" s="59">
        <f t="shared" si="88"/>
        <v>942.23833792906066</v>
      </c>
      <c r="L145" s="59">
        <f t="shared" si="88"/>
        <v>1099.2780609172373</v>
      </c>
      <c r="M145" s="59">
        <f t="shared" si="88"/>
        <v>1256.3177839054142</v>
      </c>
      <c r="N145" s="59">
        <f t="shared" si="88"/>
        <v>1413.3575068935911</v>
      </c>
      <c r="O145" s="59">
        <f t="shared" si="88"/>
        <v>1570.397229881768</v>
      </c>
      <c r="P145" s="59">
        <f t="shared" si="88"/>
        <v>1727.4369528699449</v>
      </c>
      <c r="Q145" s="59">
        <f t="shared" si="88"/>
        <v>1884.4766758581218</v>
      </c>
      <c r="R145" s="59">
        <f t="shared" si="88"/>
        <v>2041.5163988462987</v>
      </c>
      <c r="S145" s="59">
        <f t="shared" si="88"/>
        <v>2198.5561218344756</v>
      </c>
      <c r="T145" s="59">
        <f t="shared" si="88"/>
        <v>2355.5958448226525</v>
      </c>
      <c r="U145" s="59">
        <f t="shared" si="88"/>
        <v>2512.6355678108293</v>
      </c>
      <c r="V145" s="59">
        <f t="shared" si="87"/>
        <v>1648.9170913758569</v>
      </c>
      <c r="W145" s="69"/>
    </row>
    <row r="146" spans="8:27" x14ac:dyDescent="0.25">
      <c r="H146" s="101"/>
      <c r="I146" s="68">
        <v>1725</v>
      </c>
      <c r="J146" s="59">
        <f t="shared" si="88"/>
        <v>0</v>
      </c>
      <c r="K146" s="59">
        <f t="shared" si="88"/>
        <v>0</v>
      </c>
      <c r="L146" s="59">
        <f t="shared" si="88"/>
        <v>0</v>
      </c>
      <c r="M146" s="59">
        <f t="shared" si="88"/>
        <v>0</v>
      </c>
      <c r="N146" s="59">
        <f t="shared" si="88"/>
        <v>0</v>
      </c>
      <c r="O146" s="59">
        <f t="shared" si="88"/>
        <v>0</v>
      </c>
      <c r="P146" s="59">
        <f t="shared" si="88"/>
        <v>0</v>
      </c>
      <c r="Q146" s="59">
        <f t="shared" si="88"/>
        <v>0</v>
      </c>
      <c r="R146" s="59">
        <f t="shared" si="88"/>
        <v>0</v>
      </c>
      <c r="S146" s="59">
        <f t="shared" si="88"/>
        <v>0</v>
      </c>
      <c r="T146" s="59">
        <f t="shared" si="88"/>
        <v>0</v>
      </c>
      <c r="U146" s="59">
        <f t="shared" si="88"/>
        <v>0</v>
      </c>
      <c r="V146" s="59">
        <f t="shared" si="87"/>
        <v>0</v>
      </c>
      <c r="W146" s="69"/>
    </row>
    <row r="147" spans="8:27" x14ac:dyDescent="0.25">
      <c r="H147" s="101"/>
      <c r="I147" s="68">
        <v>1730</v>
      </c>
      <c r="J147" s="59">
        <f t="shared" si="88"/>
        <v>1238.4262842790458</v>
      </c>
      <c r="K147" s="59">
        <f t="shared" si="88"/>
        <v>1486.1115411348551</v>
      </c>
      <c r="L147" s="59">
        <f t="shared" si="88"/>
        <v>1733.7967979906643</v>
      </c>
      <c r="M147" s="59">
        <f t="shared" si="88"/>
        <v>1981.4820548464736</v>
      </c>
      <c r="N147" s="59">
        <f t="shared" si="88"/>
        <v>2229.1673117022829</v>
      </c>
      <c r="O147" s="59">
        <f t="shared" si="88"/>
        <v>2476.8525685580921</v>
      </c>
      <c r="P147" s="59">
        <f t="shared" si="88"/>
        <v>2724.5378254139014</v>
      </c>
      <c r="Q147" s="59">
        <f t="shared" si="88"/>
        <v>2972.2230822697106</v>
      </c>
      <c r="R147" s="59">
        <f t="shared" si="88"/>
        <v>3219.9083391255199</v>
      </c>
      <c r="S147" s="59">
        <f t="shared" si="88"/>
        <v>3467.5935959813291</v>
      </c>
      <c r="T147" s="59">
        <f t="shared" si="88"/>
        <v>3715.2788528371384</v>
      </c>
      <c r="U147" s="59">
        <f t="shared" si="88"/>
        <v>3962.9641096929477</v>
      </c>
      <c r="V147" s="59">
        <f t="shared" si="87"/>
        <v>2600.6951969859965</v>
      </c>
      <c r="W147" s="69"/>
      <c r="Z147" s="71"/>
    </row>
    <row r="148" spans="8:27" x14ac:dyDescent="0.25">
      <c r="H148" s="101"/>
      <c r="I148" s="55" t="s">
        <v>77</v>
      </c>
      <c r="J148" s="61">
        <f>SUM(J142:J147)</f>
        <v>2417.2021277402155</v>
      </c>
      <c r="K148" s="61">
        <f t="shared" ref="K148:V148" si="89">SUM(K142:K147)</f>
        <v>2900.6425532882586</v>
      </c>
      <c r="L148" s="61">
        <f t="shared" si="89"/>
        <v>3384.0829788363017</v>
      </c>
      <c r="M148" s="61">
        <f t="shared" si="89"/>
        <v>3867.5234043843448</v>
      </c>
      <c r="N148" s="61">
        <f t="shared" si="89"/>
        <v>4350.9638299323879</v>
      </c>
      <c r="O148" s="61">
        <f t="shared" si="89"/>
        <v>4834.4042554804309</v>
      </c>
      <c r="P148" s="61">
        <f t="shared" si="89"/>
        <v>5317.844681028475</v>
      </c>
      <c r="Q148" s="61">
        <f t="shared" si="89"/>
        <v>5801.285106576518</v>
      </c>
      <c r="R148" s="61">
        <f t="shared" si="89"/>
        <v>6284.7255321245611</v>
      </c>
      <c r="S148" s="61">
        <f t="shared" si="89"/>
        <v>6768.1659576726051</v>
      </c>
      <c r="T148" s="61">
        <f t="shared" si="89"/>
        <v>7251.6063832206473</v>
      </c>
      <c r="U148" s="61">
        <f t="shared" si="89"/>
        <v>7735.0468087686913</v>
      </c>
      <c r="V148" s="61">
        <f t="shared" si="89"/>
        <v>5076.1244682544529</v>
      </c>
      <c r="W148" s="69"/>
    </row>
    <row r="151" spans="8:27" x14ac:dyDescent="0.25">
      <c r="H151" s="94"/>
      <c r="I151" s="96"/>
      <c r="J151" s="59" t="s">
        <v>98</v>
      </c>
      <c r="K151" s="59" t="s">
        <v>99</v>
      </c>
      <c r="L151" s="59" t="s">
        <v>100</v>
      </c>
      <c r="M151" s="59" t="s">
        <v>101</v>
      </c>
      <c r="N151" s="59" t="s">
        <v>102</v>
      </c>
      <c r="O151" s="59" t="s">
        <v>103</v>
      </c>
      <c r="P151" s="59" t="s">
        <v>104</v>
      </c>
      <c r="Q151" s="59" t="s">
        <v>105</v>
      </c>
      <c r="R151" s="59" t="s">
        <v>106</v>
      </c>
      <c r="S151" s="59" t="s">
        <v>107</v>
      </c>
      <c r="T151" s="59" t="s">
        <v>108</v>
      </c>
      <c r="U151" s="59" t="s">
        <v>109</v>
      </c>
      <c r="V151" s="59" t="s">
        <v>110</v>
      </c>
      <c r="W151" s="63" t="s">
        <v>77</v>
      </c>
    </row>
    <row r="152" spans="8:27" x14ac:dyDescent="0.25">
      <c r="H152" s="101" t="s">
        <v>138</v>
      </c>
      <c r="I152" s="68">
        <v>1715</v>
      </c>
      <c r="J152" s="59">
        <v>365.32896110211084</v>
      </c>
      <c r="K152" s="59">
        <f>J168</f>
        <v>474.63056557949415</v>
      </c>
      <c r="L152" s="59">
        <f t="shared" ref="L152:U152" si="90">K168</f>
        <v>583.93217005687745</v>
      </c>
      <c r="M152" s="59">
        <f t="shared" si="90"/>
        <v>693.23377453426076</v>
      </c>
      <c r="N152" s="59">
        <f t="shared" si="90"/>
        <v>802.53537901164407</v>
      </c>
      <c r="O152" s="59">
        <f t="shared" si="90"/>
        <v>911.83698348902738</v>
      </c>
      <c r="P152" s="59">
        <f t="shared" si="90"/>
        <v>1047.9517442011843</v>
      </c>
      <c r="Q152" s="59">
        <f t="shared" si="90"/>
        <v>1223.3446046444583</v>
      </c>
      <c r="R152" s="59">
        <f t="shared" si="90"/>
        <v>1466.1600863472543</v>
      </c>
      <c r="S152" s="59">
        <f t="shared" si="90"/>
        <v>1735.1857145387867</v>
      </c>
      <c r="T152" s="59">
        <f t="shared" si="90"/>
        <v>2004.2113427303191</v>
      </c>
      <c r="U152" s="59">
        <f t="shared" si="90"/>
        <v>2273.2369709218515</v>
      </c>
      <c r="V152" s="59">
        <f>AVERAGE(J152:U152)</f>
        <v>1131.7990247631058</v>
      </c>
      <c r="W152" s="69"/>
    </row>
    <row r="153" spans="8:27" x14ac:dyDescent="0.25">
      <c r="H153" s="101"/>
      <c r="I153" s="68" t="s">
        <v>10</v>
      </c>
      <c r="J153" s="59">
        <v>49.028852960944405</v>
      </c>
      <c r="K153" s="59">
        <f t="shared" ref="K153:U157" si="91">J169</f>
        <v>62.894221145555406</v>
      </c>
      <c r="L153" s="59">
        <f t="shared" si="91"/>
        <v>76.759589330166406</v>
      </c>
      <c r="M153" s="59">
        <f t="shared" si="91"/>
        <v>90.624957514777407</v>
      </c>
      <c r="N153" s="59">
        <f t="shared" si="91"/>
        <v>104.49032569938841</v>
      </c>
      <c r="O153" s="59">
        <f t="shared" si="91"/>
        <v>118.35569388399941</v>
      </c>
      <c r="P153" s="59">
        <f t="shared" si="91"/>
        <v>133.001534688627</v>
      </c>
      <c r="Q153" s="59">
        <f t="shared" si="91"/>
        <v>154.86035003557228</v>
      </c>
      <c r="R153" s="59">
        <f t="shared" si="91"/>
        <v>183.16213433637571</v>
      </c>
      <c r="S153" s="59">
        <f t="shared" si="91"/>
        <v>212.24439125719576</v>
      </c>
      <c r="T153" s="59">
        <f t="shared" si="91"/>
        <v>241.3266481780158</v>
      </c>
      <c r="U153" s="59">
        <f t="shared" si="91"/>
        <v>270.40890509883582</v>
      </c>
      <c r="V153" s="59">
        <f t="shared" ref="V153:V157" si="92">AVERAGE(J153:U153)</f>
        <v>141.42980034412116</v>
      </c>
      <c r="W153" s="69"/>
    </row>
    <row r="154" spans="8:27" x14ac:dyDescent="0.25">
      <c r="H154" s="101"/>
      <c r="I154" s="68" t="s">
        <v>11</v>
      </c>
      <c r="J154" s="59">
        <v>39.863875182697051</v>
      </c>
      <c r="K154" s="59">
        <f t="shared" si="91"/>
        <v>51.882299722642642</v>
      </c>
      <c r="L154" s="59">
        <f t="shared" si="91"/>
        <v>63.900724262588234</v>
      </c>
      <c r="M154" s="59">
        <f t="shared" si="91"/>
        <v>75.919148802533826</v>
      </c>
      <c r="N154" s="59">
        <f t="shared" si="91"/>
        <v>87.937573342479425</v>
      </c>
      <c r="O154" s="59">
        <f t="shared" si="91"/>
        <v>99.955997882425024</v>
      </c>
      <c r="P154" s="59">
        <f t="shared" si="91"/>
        <v>113.88227454884087</v>
      </c>
      <c r="Q154" s="59">
        <f t="shared" si="91"/>
        <v>132.25667883089892</v>
      </c>
      <c r="R154" s="59">
        <f t="shared" si="91"/>
        <v>158.59006523760067</v>
      </c>
      <c r="S154" s="59">
        <f t="shared" si="91"/>
        <v>186.825120718471</v>
      </c>
      <c r="T154" s="59">
        <f t="shared" si="91"/>
        <v>215.06017619934133</v>
      </c>
      <c r="U154" s="59">
        <f t="shared" si="91"/>
        <v>243.29523168021166</v>
      </c>
      <c r="V154" s="59">
        <f t="shared" si="92"/>
        <v>122.44743053422754</v>
      </c>
      <c r="W154" s="69"/>
    </row>
    <row r="155" spans="8:27" x14ac:dyDescent="0.25">
      <c r="H155" s="101"/>
      <c r="I155" s="68">
        <v>1720</v>
      </c>
      <c r="J155" s="59">
        <v>687.97711347558993</v>
      </c>
      <c r="K155" s="59">
        <f t="shared" si="91"/>
        <v>889.37871571896994</v>
      </c>
      <c r="L155" s="59">
        <f t="shared" si="91"/>
        <v>1090.78031796235</v>
      </c>
      <c r="M155" s="59">
        <f t="shared" si="91"/>
        <v>1292.18192020573</v>
      </c>
      <c r="N155" s="59">
        <f t="shared" si="91"/>
        <v>1493.58352244911</v>
      </c>
      <c r="O155" s="59">
        <f t="shared" si="91"/>
        <v>1694.98512469249</v>
      </c>
      <c r="P155" s="59">
        <f t="shared" si="91"/>
        <v>1896.38672693587</v>
      </c>
      <c r="Q155" s="59">
        <f t="shared" si="91"/>
        <v>2158.8418982113149</v>
      </c>
      <c r="R155" s="59">
        <f t="shared" si="91"/>
        <v>2494.1354648535016</v>
      </c>
      <c r="S155" s="59">
        <f t="shared" si="91"/>
        <v>2829.4290314956879</v>
      </c>
      <c r="T155" s="59">
        <f t="shared" si="91"/>
        <v>3164.7225981378742</v>
      </c>
      <c r="U155" s="59">
        <f t="shared" si="91"/>
        <v>3500.0161647800605</v>
      </c>
      <c r="V155" s="59">
        <f t="shared" si="92"/>
        <v>1932.7015499098788</v>
      </c>
      <c r="W155" s="69"/>
    </row>
    <row r="156" spans="8:27" x14ac:dyDescent="0.25">
      <c r="H156" s="101"/>
      <c r="I156" s="68">
        <v>1725</v>
      </c>
      <c r="J156" s="59">
        <v>9.5986928697670812</v>
      </c>
      <c r="K156" s="59">
        <f t="shared" si="91"/>
        <v>12.798257159689442</v>
      </c>
      <c r="L156" s="59">
        <f t="shared" si="91"/>
        <v>15.997821449611802</v>
      </c>
      <c r="M156" s="59">
        <f t="shared" si="91"/>
        <v>19.197385739534162</v>
      </c>
      <c r="N156" s="59">
        <f t="shared" si="91"/>
        <v>22.396950029456523</v>
      </c>
      <c r="O156" s="59">
        <f t="shared" si="91"/>
        <v>25.596514319378883</v>
      </c>
      <c r="P156" s="59">
        <f t="shared" si="91"/>
        <v>57.322397362228301</v>
      </c>
      <c r="Q156" s="59">
        <f t="shared" si="91"/>
        <v>98.182264863145292</v>
      </c>
      <c r="R156" s="59">
        <f t="shared" si="91"/>
        <v>141.03980151130384</v>
      </c>
      <c r="S156" s="59">
        <f t="shared" si="91"/>
        <v>201.75440556362446</v>
      </c>
      <c r="T156" s="59">
        <f t="shared" si="91"/>
        <v>262.46900961594508</v>
      </c>
      <c r="U156" s="59">
        <f t="shared" si="91"/>
        <v>323.18361366826571</v>
      </c>
      <c r="V156" s="59">
        <f t="shared" si="92"/>
        <v>99.128092845995866</v>
      </c>
      <c r="W156" s="69"/>
    </row>
    <row r="157" spans="8:27" x14ac:dyDescent="0.25">
      <c r="H157" s="101"/>
      <c r="I157" s="68">
        <v>1730</v>
      </c>
      <c r="J157" s="59">
        <v>1071.4242888256192</v>
      </c>
      <c r="K157" s="59">
        <f t="shared" si="91"/>
        <v>1382.8924472923077</v>
      </c>
      <c r="L157" s="59">
        <f t="shared" si="91"/>
        <v>1694.3606057589961</v>
      </c>
      <c r="M157" s="59">
        <f t="shared" si="91"/>
        <v>2005.8287642256846</v>
      </c>
      <c r="N157" s="59">
        <f t="shared" si="91"/>
        <v>2317.2969226923733</v>
      </c>
      <c r="O157" s="59">
        <f t="shared" si="91"/>
        <v>2628.765081159062</v>
      </c>
      <c r="P157" s="59">
        <f t="shared" si="91"/>
        <v>2976.2949329570606</v>
      </c>
      <c r="Q157" s="59">
        <f t="shared" si="91"/>
        <v>3382.9937624612194</v>
      </c>
      <c r="R157" s="59">
        <f t="shared" si="91"/>
        <v>3879.6875827593635</v>
      </c>
      <c r="S157" s="59">
        <f t="shared" si="91"/>
        <v>4403.6534180114013</v>
      </c>
      <c r="T157" s="59">
        <f t="shared" si="91"/>
        <v>4927.6192532634395</v>
      </c>
      <c r="U157" s="59">
        <f t="shared" si="91"/>
        <v>5451.5850885154778</v>
      </c>
      <c r="V157" s="59">
        <f t="shared" si="92"/>
        <v>3010.2001789935002</v>
      </c>
      <c r="W157" s="69"/>
    </row>
    <row r="158" spans="8:27" x14ac:dyDescent="0.25">
      <c r="H158" s="101"/>
      <c r="I158" s="55" t="s">
        <v>77</v>
      </c>
      <c r="J158" s="61">
        <f>SUM(J152:J157)</f>
        <v>2223.2217844167285</v>
      </c>
      <c r="K158" s="61">
        <f t="shared" ref="K158:V158" si="93">SUM(K152:K157)</f>
        <v>2874.4765066186592</v>
      </c>
      <c r="L158" s="61">
        <f t="shared" si="93"/>
        <v>3525.7312288205903</v>
      </c>
      <c r="M158" s="61">
        <f t="shared" si="93"/>
        <v>4176.9859510225206</v>
      </c>
      <c r="N158" s="61">
        <f t="shared" si="93"/>
        <v>4828.2406732244517</v>
      </c>
      <c r="O158" s="61">
        <f t="shared" si="93"/>
        <v>5479.4953954263829</v>
      </c>
      <c r="P158" s="61">
        <f t="shared" si="93"/>
        <v>6224.8396106938108</v>
      </c>
      <c r="Q158" s="61">
        <f t="shared" si="93"/>
        <v>7150.4795590466092</v>
      </c>
      <c r="R158" s="61">
        <f t="shared" si="93"/>
        <v>8322.7751350454</v>
      </c>
      <c r="S158" s="61">
        <f t="shared" si="93"/>
        <v>9569.0920815851678</v>
      </c>
      <c r="T158" s="61">
        <f t="shared" si="93"/>
        <v>10815.409028124934</v>
      </c>
      <c r="U158" s="61">
        <f t="shared" si="93"/>
        <v>12061.725974664703</v>
      </c>
      <c r="V158" s="61">
        <f t="shared" si="93"/>
        <v>6437.7060773908288</v>
      </c>
      <c r="W158" s="69"/>
    </row>
    <row r="159" spans="8:27" x14ac:dyDescent="0.25">
      <c r="H159" s="94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6"/>
      <c r="Z159" s="51" t="s">
        <v>145</v>
      </c>
      <c r="AA159" s="51" t="s">
        <v>146</v>
      </c>
    </row>
    <row r="160" spans="8:27" x14ac:dyDescent="0.25">
      <c r="H160" s="101" t="s">
        <v>139</v>
      </c>
      <c r="I160" s="68">
        <v>1715</v>
      </c>
      <c r="J160" s="59">
        <f>J71*$AA160</f>
        <v>109.30160447738328</v>
      </c>
      <c r="K160" s="59">
        <f t="shared" ref="K160:U160" si="94">K71*$AA160</f>
        <v>109.30160447738328</v>
      </c>
      <c r="L160" s="59">
        <f t="shared" si="94"/>
        <v>109.30160447738328</v>
      </c>
      <c r="M160" s="59">
        <f t="shared" si="94"/>
        <v>109.30160447738328</v>
      </c>
      <c r="N160" s="59">
        <f t="shared" si="94"/>
        <v>109.30160447738328</v>
      </c>
      <c r="O160" s="59">
        <f t="shared" si="94"/>
        <v>136.11476071215688</v>
      </c>
      <c r="P160" s="59">
        <f t="shared" si="94"/>
        <v>175.39286044327392</v>
      </c>
      <c r="Q160" s="59">
        <f t="shared" si="94"/>
        <v>242.81548170279606</v>
      </c>
      <c r="R160" s="59">
        <f t="shared" si="94"/>
        <v>269.02562819153235</v>
      </c>
      <c r="S160" s="59">
        <f t="shared" si="94"/>
        <v>269.02562819153235</v>
      </c>
      <c r="T160" s="59">
        <f t="shared" si="94"/>
        <v>269.02562819153235</v>
      </c>
      <c r="U160" s="59">
        <f t="shared" si="94"/>
        <v>269.02562819153235</v>
      </c>
      <c r="V160" s="59">
        <f t="shared" ref="V160:V165" si="95">AVERAGE(J160:U160)</f>
        <v>181.41113650093939</v>
      </c>
      <c r="W160" s="59">
        <f>SUM(J160:U160)</f>
        <v>2176.9336380112727</v>
      </c>
      <c r="Z160" s="72">
        <f t="shared" ref="Z160:Z165" si="96">Z134</f>
        <v>0.02</v>
      </c>
      <c r="AA160" s="73">
        <f t="shared" ref="AA160:AA165" si="97">Z160/12</f>
        <v>1.6666666666666668E-3</v>
      </c>
    </row>
    <row r="161" spans="8:27" x14ac:dyDescent="0.25">
      <c r="H161" s="101"/>
      <c r="I161" s="68" t="s">
        <v>10</v>
      </c>
      <c r="J161" s="59">
        <f t="shared" ref="J161:U165" si="98">J72*$AA161</f>
        <v>13.865368184611002</v>
      </c>
      <c r="K161" s="59">
        <f t="shared" si="98"/>
        <v>13.865368184611002</v>
      </c>
      <c r="L161" s="59">
        <f t="shared" si="98"/>
        <v>13.865368184611002</v>
      </c>
      <c r="M161" s="59">
        <f t="shared" si="98"/>
        <v>13.865368184611002</v>
      </c>
      <c r="N161" s="59">
        <f t="shared" si="98"/>
        <v>13.865368184611002</v>
      </c>
      <c r="O161" s="59">
        <f t="shared" si="98"/>
        <v>14.645840804627607</v>
      </c>
      <c r="P161" s="59">
        <f t="shared" si="98"/>
        <v>21.858815346945278</v>
      </c>
      <c r="Q161" s="59">
        <f t="shared" si="98"/>
        <v>28.30178430080344</v>
      </c>
      <c r="R161" s="59">
        <f t="shared" si="98"/>
        <v>29.082256920820043</v>
      </c>
      <c r="S161" s="59">
        <f t="shared" si="98"/>
        <v>29.082256920820043</v>
      </c>
      <c r="T161" s="59">
        <f t="shared" si="98"/>
        <v>29.082256920820043</v>
      </c>
      <c r="U161" s="59">
        <f t="shared" si="98"/>
        <v>29.082256920820043</v>
      </c>
      <c r="V161" s="59">
        <f t="shared" si="95"/>
        <v>20.87185908822596</v>
      </c>
      <c r="W161" s="59">
        <f t="shared" ref="W161:W166" si="99">SUM(J161:U161)</f>
        <v>250.46230905871153</v>
      </c>
      <c r="Z161" s="72">
        <f t="shared" si="96"/>
        <v>2.5000000000000001E-2</v>
      </c>
      <c r="AA161" s="73">
        <f t="shared" si="97"/>
        <v>2.0833333333333333E-3</v>
      </c>
    </row>
    <row r="162" spans="8:27" x14ac:dyDescent="0.25">
      <c r="H162" s="101"/>
      <c r="I162" s="68" t="s">
        <v>11</v>
      </c>
      <c r="J162" s="59">
        <f t="shared" si="98"/>
        <v>12.018424539945594</v>
      </c>
      <c r="K162" s="59">
        <f t="shared" si="98"/>
        <v>12.018424539945594</v>
      </c>
      <c r="L162" s="59">
        <f t="shared" si="98"/>
        <v>12.018424539945594</v>
      </c>
      <c r="M162" s="59">
        <f t="shared" si="98"/>
        <v>12.018424539945594</v>
      </c>
      <c r="N162" s="59">
        <f t="shared" si="98"/>
        <v>12.018424539945594</v>
      </c>
      <c r="O162" s="59">
        <f t="shared" si="98"/>
        <v>13.926276666415845</v>
      </c>
      <c r="P162" s="59">
        <f t="shared" si="98"/>
        <v>18.374404282058041</v>
      </c>
      <c r="Q162" s="59">
        <f t="shared" si="98"/>
        <v>26.333386406701752</v>
      </c>
      <c r="R162" s="59">
        <f t="shared" si="98"/>
        <v>28.23505548087034</v>
      </c>
      <c r="S162" s="59">
        <f t="shared" si="98"/>
        <v>28.23505548087034</v>
      </c>
      <c r="T162" s="59">
        <f t="shared" si="98"/>
        <v>28.23505548087034</v>
      </c>
      <c r="U162" s="59">
        <f t="shared" si="98"/>
        <v>28.23505548087034</v>
      </c>
      <c r="V162" s="59">
        <f t="shared" si="95"/>
        <v>19.305534331532076</v>
      </c>
      <c r="W162" s="59">
        <f t="shared" si="99"/>
        <v>231.66641197838493</v>
      </c>
      <c r="Z162" s="72">
        <f t="shared" si="96"/>
        <v>0.05</v>
      </c>
      <c r="AA162" s="73">
        <f t="shared" si="97"/>
        <v>4.1666666666666666E-3</v>
      </c>
    </row>
    <row r="163" spans="8:27" x14ac:dyDescent="0.25">
      <c r="H163" s="101"/>
      <c r="I163" s="68">
        <v>1720</v>
      </c>
      <c r="J163" s="59">
        <f t="shared" si="98"/>
        <v>201.40160224338007</v>
      </c>
      <c r="K163" s="59">
        <f t="shared" si="98"/>
        <v>201.40160224338007</v>
      </c>
      <c r="L163" s="59">
        <f t="shared" si="98"/>
        <v>201.40160224338007</v>
      </c>
      <c r="M163" s="59">
        <f t="shared" si="98"/>
        <v>201.40160224338007</v>
      </c>
      <c r="N163" s="59">
        <f t="shared" si="98"/>
        <v>201.40160224338007</v>
      </c>
      <c r="O163" s="59">
        <f t="shared" si="98"/>
        <v>201.40160224338007</v>
      </c>
      <c r="P163" s="59">
        <f t="shared" si="98"/>
        <v>262.45517127544503</v>
      </c>
      <c r="Q163" s="59">
        <f t="shared" si="98"/>
        <v>335.29356664218653</v>
      </c>
      <c r="R163" s="59">
        <f t="shared" si="98"/>
        <v>335.29356664218653</v>
      </c>
      <c r="S163" s="59">
        <f t="shared" si="98"/>
        <v>335.29356664218653</v>
      </c>
      <c r="T163" s="59">
        <f t="shared" si="98"/>
        <v>335.29356664218653</v>
      </c>
      <c r="U163" s="59">
        <f t="shared" si="98"/>
        <v>335.29356664218653</v>
      </c>
      <c r="V163" s="59">
        <f t="shared" si="95"/>
        <v>262.27771816222145</v>
      </c>
      <c r="W163" s="59">
        <f t="shared" si="99"/>
        <v>3147.3326179466576</v>
      </c>
      <c r="Z163" s="72">
        <f t="shared" si="96"/>
        <v>1.6666666666666666E-2</v>
      </c>
      <c r="AA163" s="73">
        <f t="shared" si="97"/>
        <v>1.3888888888888889E-3</v>
      </c>
    </row>
    <row r="164" spans="8:27" x14ac:dyDescent="0.25">
      <c r="H164" s="101"/>
      <c r="I164" s="68">
        <v>1725</v>
      </c>
      <c r="J164" s="59">
        <f t="shared" si="98"/>
        <v>3.1995642899223604</v>
      </c>
      <c r="K164" s="59">
        <f t="shared" si="98"/>
        <v>3.1995642899223604</v>
      </c>
      <c r="L164" s="59">
        <f t="shared" si="98"/>
        <v>3.1995642899223604</v>
      </c>
      <c r="M164" s="59">
        <f t="shared" si="98"/>
        <v>3.1995642899223604</v>
      </c>
      <c r="N164" s="59">
        <f t="shared" si="98"/>
        <v>3.1995642899223604</v>
      </c>
      <c r="O164" s="59">
        <f t="shared" si="98"/>
        <v>31.725883042849414</v>
      </c>
      <c r="P164" s="59">
        <f t="shared" si="98"/>
        <v>40.859867500916991</v>
      </c>
      <c r="Q164" s="59">
        <f t="shared" si="98"/>
        <v>42.857536648158536</v>
      </c>
      <c r="R164" s="59">
        <f t="shared" si="98"/>
        <v>60.714604052320624</v>
      </c>
      <c r="S164" s="59">
        <f t="shared" si="98"/>
        <v>60.714604052320624</v>
      </c>
      <c r="T164" s="59">
        <f t="shared" si="98"/>
        <v>60.714604052320624</v>
      </c>
      <c r="U164" s="59">
        <f t="shared" si="98"/>
        <v>60.714604052320624</v>
      </c>
      <c r="V164" s="59">
        <f t="shared" si="95"/>
        <v>31.191627070901603</v>
      </c>
      <c r="W164" s="59">
        <f t="shared" si="99"/>
        <v>374.29952485081924</v>
      </c>
      <c r="Z164" s="72">
        <f t="shared" si="96"/>
        <v>2.2222222222222223E-2</v>
      </c>
      <c r="AA164" s="73">
        <f t="shared" si="97"/>
        <v>1.8518518518518519E-3</v>
      </c>
    </row>
    <row r="165" spans="8:27" x14ac:dyDescent="0.25">
      <c r="H165" s="101"/>
      <c r="I165" s="68">
        <v>1730</v>
      </c>
      <c r="J165" s="59">
        <f t="shared" si="98"/>
        <v>311.46815846668846</v>
      </c>
      <c r="K165" s="59">
        <f t="shared" si="98"/>
        <v>311.46815846668846</v>
      </c>
      <c r="L165" s="59">
        <f t="shared" si="98"/>
        <v>311.46815846668846</v>
      </c>
      <c r="M165" s="59">
        <f t="shared" si="98"/>
        <v>311.46815846668846</v>
      </c>
      <c r="N165" s="59">
        <f t="shared" si="98"/>
        <v>311.46815846668846</v>
      </c>
      <c r="O165" s="59">
        <f t="shared" si="98"/>
        <v>347.52985179799862</v>
      </c>
      <c r="P165" s="59">
        <f t="shared" si="98"/>
        <v>406.69882950415899</v>
      </c>
      <c r="Q165" s="59">
        <f t="shared" si="98"/>
        <v>496.69382029814403</v>
      </c>
      <c r="R165" s="59">
        <f t="shared" si="98"/>
        <v>523.96583525203778</v>
      </c>
      <c r="S165" s="59">
        <f t="shared" si="98"/>
        <v>523.96583525203778</v>
      </c>
      <c r="T165" s="59">
        <f t="shared" si="98"/>
        <v>523.96583525203778</v>
      </c>
      <c r="U165" s="59">
        <f t="shared" si="98"/>
        <v>523.96583525203778</v>
      </c>
      <c r="V165" s="59">
        <f t="shared" si="95"/>
        <v>408.67721957849125</v>
      </c>
      <c r="W165" s="59">
        <f t="shared" si="99"/>
        <v>4904.1266349418947</v>
      </c>
      <c r="Z165" s="72">
        <f t="shared" si="96"/>
        <v>2.2222222222222223E-2</v>
      </c>
      <c r="AA165" s="73">
        <f t="shared" si="97"/>
        <v>1.8518518518518519E-3</v>
      </c>
    </row>
    <row r="166" spans="8:27" x14ac:dyDescent="0.25">
      <c r="H166" s="101"/>
      <c r="I166" s="55" t="s">
        <v>77</v>
      </c>
      <c r="J166" s="61">
        <f>SUM(J160:J165)</f>
        <v>651.2547222019308</v>
      </c>
      <c r="K166" s="61">
        <f t="shared" ref="K166:V166" si="100">SUM(K160:K165)</f>
        <v>651.2547222019308</v>
      </c>
      <c r="L166" s="61">
        <f t="shared" si="100"/>
        <v>651.2547222019308</v>
      </c>
      <c r="M166" s="61">
        <f t="shared" si="100"/>
        <v>651.2547222019308</v>
      </c>
      <c r="N166" s="61">
        <f t="shared" si="100"/>
        <v>651.2547222019308</v>
      </c>
      <c r="O166" s="61">
        <f t="shared" si="100"/>
        <v>745.34421526742847</v>
      </c>
      <c r="P166" s="61">
        <f t="shared" si="100"/>
        <v>925.63994835279823</v>
      </c>
      <c r="Q166" s="61">
        <f t="shared" si="100"/>
        <v>1172.2955759987904</v>
      </c>
      <c r="R166" s="61">
        <f t="shared" si="100"/>
        <v>1246.3169465397677</v>
      </c>
      <c r="S166" s="61">
        <f t="shared" si="100"/>
        <v>1246.3169465397677</v>
      </c>
      <c r="T166" s="61">
        <f t="shared" si="100"/>
        <v>1246.3169465397677</v>
      </c>
      <c r="U166" s="61">
        <f t="shared" si="100"/>
        <v>1246.3169465397677</v>
      </c>
      <c r="V166" s="61">
        <f t="shared" si="100"/>
        <v>923.73509473231184</v>
      </c>
      <c r="W166" s="61">
        <f t="shared" si="99"/>
        <v>11084.821136787741</v>
      </c>
    </row>
    <row r="167" spans="8:27" x14ac:dyDescent="0.25">
      <c r="H167" s="94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6"/>
    </row>
    <row r="168" spans="8:27" x14ac:dyDescent="0.25">
      <c r="H168" s="101" t="s">
        <v>140</v>
      </c>
      <c r="I168" s="68">
        <v>1715</v>
      </c>
      <c r="J168" s="59">
        <f>J152+J160</f>
        <v>474.63056557949415</v>
      </c>
      <c r="K168" s="59">
        <f t="shared" ref="K168:U168" si="101">K152+K160</f>
        <v>583.93217005687745</v>
      </c>
      <c r="L168" s="59">
        <f t="shared" si="101"/>
        <v>693.23377453426076</v>
      </c>
      <c r="M168" s="59">
        <f t="shared" si="101"/>
        <v>802.53537901164407</v>
      </c>
      <c r="N168" s="59">
        <f t="shared" si="101"/>
        <v>911.83698348902738</v>
      </c>
      <c r="O168" s="59">
        <f t="shared" si="101"/>
        <v>1047.9517442011843</v>
      </c>
      <c r="P168" s="59">
        <f t="shared" si="101"/>
        <v>1223.3446046444583</v>
      </c>
      <c r="Q168" s="59">
        <f t="shared" si="101"/>
        <v>1466.1600863472543</v>
      </c>
      <c r="R168" s="59">
        <f t="shared" si="101"/>
        <v>1735.1857145387867</v>
      </c>
      <c r="S168" s="59">
        <f t="shared" si="101"/>
        <v>2004.2113427303191</v>
      </c>
      <c r="T168" s="59">
        <f t="shared" si="101"/>
        <v>2273.2369709218515</v>
      </c>
      <c r="U168" s="59">
        <f t="shared" si="101"/>
        <v>2542.2625991133837</v>
      </c>
      <c r="V168" s="59">
        <f t="shared" ref="V168:V173" si="102">AVERAGE(J168:U168)</f>
        <v>1313.2101612640452</v>
      </c>
      <c r="W168" s="69"/>
    </row>
    <row r="169" spans="8:27" x14ac:dyDescent="0.25">
      <c r="H169" s="101"/>
      <c r="I169" s="68" t="s">
        <v>10</v>
      </c>
      <c r="J169" s="59">
        <f t="shared" ref="J169:U173" si="103">J153+J161</f>
        <v>62.894221145555406</v>
      </c>
      <c r="K169" s="59">
        <f t="shared" si="103"/>
        <v>76.759589330166406</v>
      </c>
      <c r="L169" s="59">
        <f t="shared" si="103"/>
        <v>90.624957514777407</v>
      </c>
      <c r="M169" s="59">
        <f t="shared" si="103"/>
        <v>104.49032569938841</v>
      </c>
      <c r="N169" s="59">
        <f t="shared" si="103"/>
        <v>118.35569388399941</v>
      </c>
      <c r="O169" s="59">
        <f t="shared" si="103"/>
        <v>133.001534688627</v>
      </c>
      <c r="P169" s="59">
        <f t="shared" si="103"/>
        <v>154.86035003557228</v>
      </c>
      <c r="Q169" s="59">
        <f t="shared" si="103"/>
        <v>183.16213433637571</v>
      </c>
      <c r="R169" s="59">
        <f t="shared" si="103"/>
        <v>212.24439125719576</v>
      </c>
      <c r="S169" s="59">
        <f t="shared" si="103"/>
        <v>241.3266481780158</v>
      </c>
      <c r="T169" s="59">
        <f t="shared" si="103"/>
        <v>270.40890509883582</v>
      </c>
      <c r="U169" s="59">
        <f t="shared" si="103"/>
        <v>299.49116201965586</v>
      </c>
      <c r="V169" s="59">
        <f t="shared" si="102"/>
        <v>162.30165943234712</v>
      </c>
      <c r="W169" s="69"/>
    </row>
    <row r="170" spans="8:27" x14ac:dyDescent="0.25">
      <c r="H170" s="101"/>
      <c r="I170" s="68" t="s">
        <v>11</v>
      </c>
      <c r="J170" s="59">
        <f t="shared" si="103"/>
        <v>51.882299722642642</v>
      </c>
      <c r="K170" s="59">
        <f t="shared" si="103"/>
        <v>63.900724262588234</v>
      </c>
      <c r="L170" s="59">
        <f t="shared" si="103"/>
        <v>75.919148802533826</v>
      </c>
      <c r="M170" s="59">
        <f t="shared" si="103"/>
        <v>87.937573342479425</v>
      </c>
      <c r="N170" s="59">
        <f t="shared" si="103"/>
        <v>99.955997882425024</v>
      </c>
      <c r="O170" s="59">
        <f t="shared" si="103"/>
        <v>113.88227454884087</v>
      </c>
      <c r="P170" s="59">
        <f t="shared" si="103"/>
        <v>132.25667883089892</v>
      </c>
      <c r="Q170" s="59">
        <f t="shared" si="103"/>
        <v>158.59006523760067</v>
      </c>
      <c r="R170" s="59">
        <f t="shared" si="103"/>
        <v>186.825120718471</v>
      </c>
      <c r="S170" s="59">
        <f t="shared" si="103"/>
        <v>215.06017619934133</v>
      </c>
      <c r="T170" s="59">
        <f t="shared" si="103"/>
        <v>243.29523168021166</v>
      </c>
      <c r="U170" s="59">
        <f t="shared" si="103"/>
        <v>271.53028716108201</v>
      </c>
      <c r="V170" s="59">
        <f t="shared" si="102"/>
        <v>141.75296486575965</v>
      </c>
      <c r="W170" s="69"/>
    </row>
    <row r="171" spans="8:27" x14ac:dyDescent="0.25">
      <c r="H171" s="101"/>
      <c r="I171" s="68">
        <v>1720</v>
      </c>
      <c r="J171" s="59">
        <f t="shared" si="103"/>
        <v>889.37871571896994</v>
      </c>
      <c r="K171" s="59">
        <f t="shared" si="103"/>
        <v>1090.78031796235</v>
      </c>
      <c r="L171" s="59">
        <f t="shared" si="103"/>
        <v>1292.18192020573</v>
      </c>
      <c r="M171" s="59">
        <f t="shared" si="103"/>
        <v>1493.58352244911</v>
      </c>
      <c r="N171" s="59">
        <f t="shared" si="103"/>
        <v>1694.98512469249</v>
      </c>
      <c r="O171" s="59">
        <f t="shared" si="103"/>
        <v>1896.38672693587</v>
      </c>
      <c r="P171" s="59">
        <f t="shared" si="103"/>
        <v>2158.8418982113149</v>
      </c>
      <c r="Q171" s="59">
        <f t="shared" si="103"/>
        <v>2494.1354648535016</v>
      </c>
      <c r="R171" s="59">
        <f t="shared" si="103"/>
        <v>2829.4290314956879</v>
      </c>
      <c r="S171" s="59">
        <f t="shared" si="103"/>
        <v>3164.7225981378742</v>
      </c>
      <c r="T171" s="59">
        <f t="shared" si="103"/>
        <v>3500.0161647800605</v>
      </c>
      <c r="U171" s="59">
        <f t="shared" si="103"/>
        <v>3835.3097314222468</v>
      </c>
      <c r="V171" s="59">
        <f t="shared" si="102"/>
        <v>2194.9792680721007</v>
      </c>
      <c r="W171" s="69"/>
    </row>
    <row r="172" spans="8:27" x14ac:dyDescent="0.25">
      <c r="H172" s="101"/>
      <c r="I172" s="68">
        <v>1725</v>
      </c>
      <c r="J172" s="59">
        <f t="shared" si="103"/>
        <v>12.798257159689442</v>
      </c>
      <c r="K172" s="59">
        <f t="shared" si="103"/>
        <v>15.997821449611802</v>
      </c>
      <c r="L172" s="59">
        <f t="shared" si="103"/>
        <v>19.197385739534162</v>
      </c>
      <c r="M172" s="59">
        <f t="shared" si="103"/>
        <v>22.396950029456523</v>
      </c>
      <c r="N172" s="59">
        <f t="shared" si="103"/>
        <v>25.596514319378883</v>
      </c>
      <c r="O172" s="59">
        <f t="shared" si="103"/>
        <v>57.322397362228301</v>
      </c>
      <c r="P172" s="59">
        <f t="shared" si="103"/>
        <v>98.182264863145292</v>
      </c>
      <c r="Q172" s="59">
        <f t="shared" si="103"/>
        <v>141.03980151130384</v>
      </c>
      <c r="R172" s="59">
        <f t="shared" si="103"/>
        <v>201.75440556362446</v>
      </c>
      <c r="S172" s="59">
        <f t="shared" si="103"/>
        <v>262.46900961594508</v>
      </c>
      <c r="T172" s="59">
        <f t="shared" si="103"/>
        <v>323.18361366826571</v>
      </c>
      <c r="U172" s="59">
        <f t="shared" si="103"/>
        <v>383.89821772058633</v>
      </c>
      <c r="V172" s="59">
        <f t="shared" si="102"/>
        <v>130.31971991689747</v>
      </c>
      <c r="W172" s="69"/>
    </row>
    <row r="173" spans="8:27" x14ac:dyDescent="0.25">
      <c r="H173" s="101"/>
      <c r="I173" s="68">
        <v>1730</v>
      </c>
      <c r="J173" s="59">
        <f t="shared" si="103"/>
        <v>1382.8924472923077</v>
      </c>
      <c r="K173" s="59">
        <f t="shared" si="103"/>
        <v>1694.3606057589961</v>
      </c>
      <c r="L173" s="59">
        <f t="shared" si="103"/>
        <v>2005.8287642256846</v>
      </c>
      <c r="M173" s="59">
        <f t="shared" si="103"/>
        <v>2317.2969226923733</v>
      </c>
      <c r="N173" s="59">
        <f t="shared" si="103"/>
        <v>2628.765081159062</v>
      </c>
      <c r="O173" s="59">
        <f t="shared" si="103"/>
        <v>2976.2949329570606</v>
      </c>
      <c r="P173" s="59">
        <f t="shared" si="103"/>
        <v>3382.9937624612194</v>
      </c>
      <c r="Q173" s="59">
        <f t="shared" si="103"/>
        <v>3879.6875827593635</v>
      </c>
      <c r="R173" s="59">
        <f t="shared" si="103"/>
        <v>4403.6534180114013</v>
      </c>
      <c r="S173" s="59">
        <f t="shared" si="103"/>
        <v>4927.6192532634395</v>
      </c>
      <c r="T173" s="59">
        <f t="shared" si="103"/>
        <v>5451.5850885154778</v>
      </c>
      <c r="U173" s="59">
        <f t="shared" si="103"/>
        <v>5975.550923767516</v>
      </c>
      <c r="V173" s="59">
        <f t="shared" si="102"/>
        <v>3418.8773985719913</v>
      </c>
      <c r="W173" s="69"/>
    </row>
    <row r="174" spans="8:27" x14ac:dyDescent="0.25">
      <c r="H174" s="101"/>
      <c r="I174" s="55" t="s">
        <v>77</v>
      </c>
      <c r="J174" s="61">
        <f>SUM(J168:J173)</f>
        <v>2874.4765066186592</v>
      </c>
      <c r="K174" s="61">
        <f t="shared" ref="K174:V174" si="104">SUM(K168:K173)</f>
        <v>3525.7312288205903</v>
      </c>
      <c r="L174" s="61">
        <f t="shared" si="104"/>
        <v>4176.9859510225206</v>
      </c>
      <c r="M174" s="61">
        <f t="shared" si="104"/>
        <v>4828.2406732244517</v>
      </c>
      <c r="N174" s="61">
        <f t="shared" si="104"/>
        <v>5479.4953954263829</v>
      </c>
      <c r="O174" s="61">
        <f t="shared" si="104"/>
        <v>6224.8396106938108</v>
      </c>
      <c r="P174" s="61">
        <f t="shared" si="104"/>
        <v>7150.4795590466092</v>
      </c>
      <c r="Q174" s="61">
        <f t="shared" si="104"/>
        <v>8322.7751350454</v>
      </c>
      <c r="R174" s="61">
        <f t="shared" si="104"/>
        <v>9569.0920815851678</v>
      </c>
      <c r="S174" s="61">
        <f t="shared" si="104"/>
        <v>10815.409028124934</v>
      </c>
      <c r="T174" s="61">
        <f t="shared" si="104"/>
        <v>12061.725974664703</v>
      </c>
      <c r="U174" s="61">
        <f t="shared" si="104"/>
        <v>13308.042921204469</v>
      </c>
      <c r="V174" s="61">
        <f t="shared" si="104"/>
        <v>7361.4411721231418</v>
      </c>
      <c r="W174" s="69"/>
    </row>
    <row r="177" spans="8:27" x14ac:dyDescent="0.25">
      <c r="H177" s="94"/>
      <c r="I177" s="96"/>
      <c r="J177" s="59" t="s">
        <v>98</v>
      </c>
      <c r="K177" s="59" t="s">
        <v>99</v>
      </c>
      <c r="L177" s="59" t="s">
        <v>100</v>
      </c>
      <c r="M177" s="59" t="s">
        <v>101</v>
      </c>
      <c r="N177" s="59" t="s">
        <v>102</v>
      </c>
      <c r="O177" s="59" t="s">
        <v>103</v>
      </c>
      <c r="P177" s="59" t="s">
        <v>104</v>
      </c>
      <c r="Q177" s="59" t="s">
        <v>105</v>
      </c>
      <c r="R177" s="59" t="s">
        <v>106</v>
      </c>
      <c r="S177" s="59" t="s">
        <v>107</v>
      </c>
      <c r="T177" s="59" t="s">
        <v>108</v>
      </c>
      <c r="U177" s="59" t="s">
        <v>109</v>
      </c>
      <c r="V177" s="59" t="s">
        <v>110</v>
      </c>
      <c r="W177" s="63" t="s">
        <v>77</v>
      </c>
    </row>
    <row r="178" spans="8:27" x14ac:dyDescent="0.25">
      <c r="H178" s="101" t="s">
        <v>141</v>
      </c>
      <c r="I178" s="68">
        <v>1908</v>
      </c>
      <c r="J178" s="59">
        <v>0</v>
      </c>
      <c r="K178" s="59">
        <f>J194</f>
        <v>0</v>
      </c>
      <c r="L178" s="59">
        <f t="shared" ref="L178:U178" si="105">K194</f>
        <v>0</v>
      </c>
      <c r="M178" s="59">
        <f t="shared" si="105"/>
        <v>0</v>
      </c>
      <c r="N178" s="59">
        <f t="shared" si="105"/>
        <v>0</v>
      </c>
      <c r="O178" s="59">
        <f t="shared" si="105"/>
        <v>0</v>
      </c>
      <c r="P178" s="59">
        <f t="shared" si="105"/>
        <v>0</v>
      </c>
      <c r="Q178" s="59">
        <f t="shared" si="105"/>
        <v>0</v>
      </c>
      <c r="R178" s="59">
        <f t="shared" si="105"/>
        <v>0</v>
      </c>
      <c r="S178" s="59">
        <f t="shared" si="105"/>
        <v>0</v>
      </c>
      <c r="T178" s="59">
        <f t="shared" si="105"/>
        <v>0</v>
      </c>
      <c r="U178" s="59">
        <f t="shared" si="105"/>
        <v>8.3333333333333339</v>
      </c>
      <c r="V178" s="59">
        <f>AVERAGE(J178:U178)</f>
        <v>0.69444444444444453</v>
      </c>
      <c r="W178" s="69"/>
    </row>
    <row r="179" spans="8:27" x14ac:dyDescent="0.25">
      <c r="H179" s="101"/>
      <c r="I179" s="68">
        <v>1915</v>
      </c>
      <c r="J179" s="59">
        <v>0</v>
      </c>
      <c r="K179" s="59">
        <f t="shared" ref="K179:U180" si="106">J195</f>
        <v>0</v>
      </c>
      <c r="L179" s="59">
        <f t="shared" si="106"/>
        <v>0</v>
      </c>
      <c r="M179" s="59">
        <f t="shared" si="106"/>
        <v>0</v>
      </c>
      <c r="N179" s="59">
        <f t="shared" si="106"/>
        <v>0</v>
      </c>
      <c r="O179" s="59">
        <f t="shared" si="106"/>
        <v>0</v>
      </c>
      <c r="P179" s="59">
        <f t="shared" si="106"/>
        <v>0</v>
      </c>
      <c r="Q179" s="59">
        <f t="shared" si="106"/>
        <v>0.33333333333333331</v>
      </c>
      <c r="R179" s="59">
        <f t="shared" si="106"/>
        <v>0.66666666666666663</v>
      </c>
      <c r="S179" s="59">
        <f t="shared" si="106"/>
        <v>1</v>
      </c>
      <c r="T179" s="59">
        <f t="shared" si="106"/>
        <v>1.3333333333333333</v>
      </c>
      <c r="U179" s="59">
        <f t="shared" si="106"/>
        <v>1.6666666666666665</v>
      </c>
      <c r="V179" s="59">
        <f t="shared" ref="V179:V180" si="107">AVERAGE(J179:U179)</f>
        <v>0.41666666666666669</v>
      </c>
      <c r="W179" s="69"/>
    </row>
    <row r="180" spans="8:27" x14ac:dyDescent="0.25">
      <c r="H180" s="101"/>
      <c r="I180" s="68">
        <v>1930</v>
      </c>
      <c r="J180" s="59">
        <v>22</v>
      </c>
      <c r="K180" s="59">
        <f t="shared" si="106"/>
        <v>25.666666666666668</v>
      </c>
      <c r="L180" s="59">
        <f t="shared" si="106"/>
        <v>30.166666666666668</v>
      </c>
      <c r="M180" s="59">
        <f t="shared" si="106"/>
        <v>34.666666666666671</v>
      </c>
      <c r="N180" s="59">
        <f t="shared" si="106"/>
        <v>39.166666666666671</v>
      </c>
      <c r="O180" s="59">
        <f t="shared" si="106"/>
        <v>43.666666666666671</v>
      </c>
      <c r="P180" s="59">
        <f t="shared" si="106"/>
        <v>48.166666666666671</v>
      </c>
      <c r="Q180" s="59">
        <f t="shared" si="106"/>
        <v>52.666666666666671</v>
      </c>
      <c r="R180" s="59">
        <f t="shared" si="106"/>
        <v>57.166666666666671</v>
      </c>
      <c r="S180" s="59">
        <f t="shared" si="106"/>
        <v>61.666666666666671</v>
      </c>
      <c r="T180" s="59">
        <f t="shared" si="106"/>
        <v>66.166666666666671</v>
      </c>
      <c r="U180" s="59">
        <f t="shared" si="106"/>
        <v>70.666666666666671</v>
      </c>
      <c r="V180" s="59">
        <f t="shared" si="107"/>
        <v>45.986111111111121</v>
      </c>
      <c r="W180" s="69"/>
    </row>
    <row r="181" spans="8:27" x14ac:dyDescent="0.25">
      <c r="H181" s="101"/>
      <c r="I181" s="68">
        <v>1611</v>
      </c>
      <c r="J181" s="59">
        <v>0</v>
      </c>
      <c r="K181" s="59">
        <f t="shared" ref="K181" si="108">J197</f>
        <v>0</v>
      </c>
      <c r="L181" s="59">
        <f t="shared" ref="L181" si="109">K197</f>
        <v>8.3333333333333339</v>
      </c>
      <c r="M181" s="59">
        <f t="shared" ref="M181" si="110">L197</f>
        <v>16.666666666666668</v>
      </c>
      <c r="N181" s="59">
        <f t="shared" ref="N181" si="111">M197</f>
        <v>25</v>
      </c>
      <c r="O181" s="59">
        <f t="shared" ref="O181" si="112">N197</f>
        <v>33.333333333333336</v>
      </c>
      <c r="P181" s="59">
        <f t="shared" ref="P181" si="113">O197</f>
        <v>41.666666666666671</v>
      </c>
      <c r="Q181" s="59">
        <f t="shared" ref="Q181" si="114">P197</f>
        <v>50.000000000000007</v>
      </c>
      <c r="R181" s="59">
        <f t="shared" ref="R181" si="115">Q197</f>
        <v>58.333333333333343</v>
      </c>
      <c r="S181" s="59">
        <f t="shared" ref="S181" si="116">R197</f>
        <v>66.666666666666671</v>
      </c>
      <c r="T181" s="59">
        <f t="shared" ref="T181" si="117">S197</f>
        <v>75</v>
      </c>
      <c r="U181" s="59">
        <f t="shared" ref="U181" si="118">T197</f>
        <v>83.333333333333329</v>
      </c>
      <c r="V181" s="59">
        <f t="shared" ref="V181" si="119">AVERAGE(J181:U181)</f>
        <v>38.19444444444445</v>
      </c>
      <c r="W181" s="69"/>
    </row>
    <row r="182" spans="8:27" x14ac:dyDescent="0.25">
      <c r="H182" s="101"/>
      <c r="I182" s="68"/>
      <c r="J182" s="59">
        <v>0</v>
      </c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69"/>
    </row>
    <row r="183" spans="8:27" x14ac:dyDescent="0.25">
      <c r="H183" s="101"/>
      <c r="I183" s="68"/>
      <c r="J183" s="59">
        <v>0</v>
      </c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69"/>
    </row>
    <row r="184" spans="8:27" x14ac:dyDescent="0.25">
      <c r="H184" s="101"/>
      <c r="I184" s="55" t="s">
        <v>77</v>
      </c>
      <c r="J184" s="61">
        <f>SUM(J178:J183)</f>
        <v>22</v>
      </c>
      <c r="K184" s="61">
        <f t="shared" ref="K184:V184" si="120">SUM(K178:K183)</f>
        <v>25.666666666666668</v>
      </c>
      <c r="L184" s="61">
        <f t="shared" si="120"/>
        <v>38.5</v>
      </c>
      <c r="M184" s="61">
        <f t="shared" si="120"/>
        <v>51.333333333333343</v>
      </c>
      <c r="N184" s="61">
        <f t="shared" si="120"/>
        <v>64.166666666666671</v>
      </c>
      <c r="O184" s="61">
        <f t="shared" si="120"/>
        <v>77</v>
      </c>
      <c r="P184" s="61">
        <f t="shared" si="120"/>
        <v>89.833333333333343</v>
      </c>
      <c r="Q184" s="61">
        <f t="shared" si="120"/>
        <v>103.00000000000001</v>
      </c>
      <c r="R184" s="61">
        <f t="shared" si="120"/>
        <v>116.16666666666669</v>
      </c>
      <c r="S184" s="61">
        <f t="shared" si="120"/>
        <v>129.33333333333334</v>
      </c>
      <c r="T184" s="61">
        <f t="shared" si="120"/>
        <v>142.5</v>
      </c>
      <c r="U184" s="61">
        <f t="shared" si="120"/>
        <v>164</v>
      </c>
      <c r="V184" s="61">
        <f t="shared" si="120"/>
        <v>85.291666666666686</v>
      </c>
      <c r="W184" s="69"/>
    </row>
    <row r="185" spans="8:27" x14ac:dyDescent="0.25">
      <c r="H185" s="94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6"/>
      <c r="Z185" s="51" t="s">
        <v>145</v>
      </c>
      <c r="AA185" s="51" t="s">
        <v>146</v>
      </c>
    </row>
    <row r="186" spans="8:27" x14ac:dyDescent="0.25">
      <c r="H186" s="101" t="s">
        <v>142</v>
      </c>
      <c r="I186" s="68">
        <v>1908</v>
      </c>
      <c r="J186" s="59">
        <f>J97*$AA186</f>
        <v>0</v>
      </c>
      <c r="K186" s="59">
        <f t="shared" ref="K186:U186" si="121">K97*$AA186</f>
        <v>0</v>
      </c>
      <c r="L186" s="59">
        <f t="shared" si="121"/>
        <v>0</v>
      </c>
      <c r="M186" s="59">
        <f t="shared" si="121"/>
        <v>0</v>
      </c>
      <c r="N186" s="59">
        <f t="shared" si="121"/>
        <v>0</v>
      </c>
      <c r="O186" s="59">
        <f t="shared" si="121"/>
        <v>0</v>
      </c>
      <c r="P186" s="59">
        <f t="shared" si="121"/>
        <v>0</v>
      </c>
      <c r="Q186" s="59">
        <f t="shared" si="121"/>
        <v>0</v>
      </c>
      <c r="R186" s="59">
        <f t="shared" si="121"/>
        <v>0</v>
      </c>
      <c r="S186" s="59">
        <f t="shared" si="121"/>
        <v>0</v>
      </c>
      <c r="T186" s="59">
        <f t="shared" si="121"/>
        <v>8.3333333333333339</v>
      </c>
      <c r="U186" s="59">
        <f t="shared" si="121"/>
        <v>8.3333333333333339</v>
      </c>
      <c r="V186" s="59">
        <f t="shared" ref="V186:V188" si="122">AVERAGE(J186:U186)</f>
        <v>1.3888888888888891</v>
      </c>
      <c r="W186" s="59">
        <f>SUM(J186:U186)</f>
        <v>16.666666666666668</v>
      </c>
      <c r="Z186" s="72">
        <v>0.02</v>
      </c>
      <c r="AA186" s="73">
        <f>Z186/12</f>
        <v>1.6666666666666668E-3</v>
      </c>
    </row>
    <row r="187" spans="8:27" x14ac:dyDescent="0.25">
      <c r="H187" s="101"/>
      <c r="I187" s="68">
        <v>1915</v>
      </c>
      <c r="J187" s="59">
        <f t="shared" ref="J187:U189" si="123">J98*$AA187</f>
        <v>0</v>
      </c>
      <c r="K187" s="59">
        <f t="shared" si="123"/>
        <v>0</v>
      </c>
      <c r="L187" s="59">
        <f t="shared" si="123"/>
        <v>0</v>
      </c>
      <c r="M187" s="59">
        <f t="shared" si="123"/>
        <v>0</v>
      </c>
      <c r="N187" s="59">
        <f t="shared" si="123"/>
        <v>0</v>
      </c>
      <c r="O187" s="59">
        <f t="shared" si="123"/>
        <v>0</v>
      </c>
      <c r="P187" s="59">
        <f t="shared" si="123"/>
        <v>0.33333333333333331</v>
      </c>
      <c r="Q187" s="59">
        <f t="shared" si="123"/>
        <v>0.33333333333333331</v>
      </c>
      <c r="R187" s="59">
        <f t="shared" si="123"/>
        <v>0.33333333333333331</v>
      </c>
      <c r="S187" s="59">
        <f t="shared" si="123"/>
        <v>0.33333333333333331</v>
      </c>
      <c r="T187" s="59">
        <f t="shared" si="123"/>
        <v>0.33333333333333331</v>
      </c>
      <c r="U187" s="59">
        <f t="shared" si="123"/>
        <v>0.33333333333333331</v>
      </c>
      <c r="V187" s="59">
        <f t="shared" si="122"/>
        <v>0.16666666666666666</v>
      </c>
      <c r="W187" s="59">
        <f t="shared" ref="W187:W192" si="124">SUM(J187:U187)</f>
        <v>1.9999999999999998</v>
      </c>
      <c r="Z187" s="72">
        <v>0.1</v>
      </c>
      <c r="AA187" s="73">
        <f>Z187/12</f>
        <v>8.3333333333333332E-3</v>
      </c>
    </row>
    <row r="188" spans="8:27" x14ac:dyDescent="0.25">
      <c r="H188" s="101"/>
      <c r="I188" s="68">
        <v>1930</v>
      </c>
      <c r="J188" s="59">
        <f t="shared" si="123"/>
        <v>3.6666666666666665</v>
      </c>
      <c r="K188" s="59">
        <f t="shared" si="123"/>
        <v>4.5</v>
      </c>
      <c r="L188" s="59">
        <f t="shared" si="123"/>
        <v>4.5</v>
      </c>
      <c r="M188" s="59">
        <f t="shared" si="123"/>
        <v>4.5</v>
      </c>
      <c r="N188" s="59">
        <f t="shared" si="123"/>
        <v>4.5</v>
      </c>
      <c r="O188" s="59">
        <f t="shared" si="123"/>
        <v>4.5</v>
      </c>
      <c r="P188" s="59">
        <f t="shared" si="123"/>
        <v>4.5</v>
      </c>
      <c r="Q188" s="59">
        <f t="shared" si="123"/>
        <v>4.5</v>
      </c>
      <c r="R188" s="59">
        <f t="shared" si="123"/>
        <v>4.5</v>
      </c>
      <c r="S188" s="59">
        <f t="shared" si="123"/>
        <v>4.5</v>
      </c>
      <c r="T188" s="59">
        <f t="shared" si="123"/>
        <v>4.5</v>
      </c>
      <c r="U188" s="59">
        <f t="shared" si="123"/>
        <v>4.5</v>
      </c>
      <c r="V188" s="59">
        <f t="shared" si="122"/>
        <v>4.4305555555555554</v>
      </c>
      <c r="W188" s="59">
        <f t="shared" si="124"/>
        <v>53.166666666666664</v>
      </c>
      <c r="Z188" s="72">
        <v>0.2</v>
      </c>
      <c r="AA188" s="73">
        <f>Z188/12</f>
        <v>1.6666666666666666E-2</v>
      </c>
    </row>
    <row r="189" spans="8:27" x14ac:dyDescent="0.25">
      <c r="H189" s="101"/>
      <c r="I189" s="68">
        <v>1611</v>
      </c>
      <c r="J189" s="59">
        <f t="shared" si="123"/>
        <v>0</v>
      </c>
      <c r="K189" s="59">
        <f t="shared" si="123"/>
        <v>8.3333333333333339</v>
      </c>
      <c r="L189" s="59">
        <f t="shared" si="123"/>
        <v>8.3333333333333339</v>
      </c>
      <c r="M189" s="59">
        <f t="shared" si="123"/>
        <v>8.3333333333333339</v>
      </c>
      <c r="N189" s="59">
        <f t="shared" si="123"/>
        <v>8.3333333333333339</v>
      </c>
      <c r="O189" s="59">
        <f t="shared" si="123"/>
        <v>8.3333333333333339</v>
      </c>
      <c r="P189" s="59">
        <f t="shared" si="123"/>
        <v>8.3333333333333339</v>
      </c>
      <c r="Q189" s="59">
        <f t="shared" si="123"/>
        <v>8.3333333333333339</v>
      </c>
      <c r="R189" s="59">
        <f t="shared" si="123"/>
        <v>8.3333333333333339</v>
      </c>
      <c r="S189" s="59">
        <f t="shared" si="123"/>
        <v>8.3333333333333339</v>
      </c>
      <c r="T189" s="59">
        <f t="shared" si="123"/>
        <v>8.3333333333333339</v>
      </c>
      <c r="U189" s="59">
        <f t="shared" si="123"/>
        <v>8.3333333333333339</v>
      </c>
      <c r="V189" s="59">
        <f t="shared" ref="V189" si="125">AVERAGE(J189:U189)</f>
        <v>7.6388888888888884</v>
      </c>
      <c r="W189" s="59">
        <f t="shared" si="124"/>
        <v>91.666666666666657</v>
      </c>
      <c r="Z189" s="72">
        <f>+'2023 Combined'!$X$14</f>
        <v>0.2</v>
      </c>
      <c r="AA189" s="73">
        <f>Z189/12</f>
        <v>1.6666666666666666E-2</v>
      </c>
    </row>
    <row r="190" spans="8:27" x14ac:dyDescent="0.25">
      <c r="H190" s="101"/>
      <c r="I190" s="68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>
        <f t="shared" si="124"/>
        <v>0</v>
      </c>
    </row>
    <row r="191" spans="8:27" x14ac:dyDescent="0.25">
      <c r="H191" s="101"/>
      <c r="I191" s="68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>
        <f t="shared" si="124"/>
        <v>0</v>
      </c>
    </row>
    <row r="192" spans="8:27" x14ac:dyDescent="0.25">
      <c r="H192" s="101"/>
      <c r="I192" s="55" t="s">
        <v>77</v>
      </c>
      <c r="J192" s="61">
        <f>SUM(J186:J191)</f>
        <v>3.6666666666666665</v>
      </c>
      <c r="K192" s="61">
        <f t="shared" ref="K192:V192" si="126">SUM(K186:K191)</f>
        <v>12.833333333333334</v>
      </c>
      <c r="L192" s="61">
        <f t="shared" si="126"/>
        <v>12.833333333333334</v>
      </c>
      <c r="M192" s="61">
        <f t="shared" si="126"/>
        <v>12.833333333333334</v>
      </c>
      <c r="N192" s="61">
        <f t="shared" si="126"/>
        <v>12.833333333333334</v>
      </c>
      <c r="O192" s="61">
        <f t="shared" si="126"/>
        <v>12.833333333333334</v>
      </c>
      <c r="P192" s="61">
        <f t="shared" si="126"/>
        <v>13.166666666666668</v>
      </c>
      <c r="Q192" s="61">
        <f t="shared" si="126"/>
        <v>13.166666666666668</v>
      </c>
      <c r="R192" s="61">
        <f t="shared" si="126"/>
        <v>13.166666666666668</v>
      </c>
      <c r="S192" s="61">
        <f t="shared" si="126"/>
        <v>13.166666666666668</v>
      </c>
      <c r="T192" s="61">
        <f t="shared" si="126"/>
        <v>21.5</v>
      </c>
      <c r="U192" s="61">
        <f t="shared" si="126"/>
        <v>21.5</v>
      </c>
      <c r="V192" s="61">
        <f t="shared" si="126"/>
        <v>13.625</v>
      </c>
      <c r="W192" s="61">
        <f t="shared" si="124"/>
        <v>163.50000000000003</v>
      </c>
    </row>
    <row r="193" spans="8:23" x14ac:dyDescent="0.25">
      <c r="H193" s="94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6"/>
    </row>
    <row r="194" spans="8:23" x14ac:dyDescent="0.25">
      <c r="H194" s="101" t="s">
        <v>143</v>
      </c>
      <c r="I194" s="68">
        <v>1908</v>
      </c>
      <c r="J194" s="59">
        <f>J178+J186</f>
        <v>0</v>
      </c>
      <c r="K194" s="59">
        <f t="shared" ref="K194:U194" si="127">K178+K186</f>
        <v>0</v>
      </c>
      <c r="L194" s="59">
        <f t="shared" si="127"/>
        <v>0</v>
      </c>
      <c r="M194" s="59">
        <f t="shared" si="127"/>
        <v>0</v>
      </c>
      <c r="N194" s="59">
        <f t="shared" si="127"/>
        <v>0</v>
      </c>
      <c r="O194" s="59">
        <f t="shared" si="127"/>
        <v>0</v>
      </c>
      <c r="P194" s="59">
        <f t="shared" si="127"/>
        <v>0</v>
      </c>
      <c r="Q194" s="59">
        <f t="shared" si="127"/>
        <v>0</v>
      </c>
      <c r="R194" s="59">
        <f t="shared" si="127"/>
        <v>0</v>
      </c>
      <c r="S194" s="59">
        <f t="shared" si="127"/>
        <v>0</v>
      </c>
      <c r="T194" s="59">
        <f t="shared" si="127"/>
        <v>8.3333333333333339</v>
      </c>
      <c r="U194" s="59">
        <f t="shared" si="127"/>
        <v>16.666666666666668</v>
      </c>
      <c r="V194" s="59">
        <f t="shared" ref="V194:V196" si="128">AVERAGE(J194:U194)</f>
        <v>2.0833333333333335</v>
      </c>
      <c r="W194" s="69"/>
    </row>
    <row r="195" spans="8:23" x14ac:dyDescent="0.25">
      <c r="H195" s="101"/>
      <c r="I195" s="68">
        <v>1915</v>
      </c>
      <c r="J195" s="59">
        <f t="shared" ref="J195:U197" si="129">J179+J187</f>
        <v>0</v>
      </c>
      <c r="K195" s="59">
        <f t="shared" si="129"/>
        <v>0</v>
      </c>
      <c r="L195" s="59">
        <f t="shared" si="129"/>
        <v>0</v>
      </c>
      <c r="M195" s="59">
        <f t="shared" si="129"/>
        <v>0</v>
      </c>
      <c r="N195" s="59">
        <f t="shared" si="129"/>
        <v>0</v>
      </c>
      <c r="O195" s="59">
        <f t="shared" si="129"/>
        <v>0</v>
      </c>
      <c r="P195" s="59">
        <f t="shared" si="129"/>
        <v>0.33333333333333331</v>
      </c>
      <c r="Q195" s="59">
        <f t="shared" si="129"/>
        <v>0.66666666666666663</v>
      </c>
      <c r="R195" s="59">
        <f t="shared" si="129"/>
        <v>1</v>
      </c>
      <c r="S195" s="59">
        <f t="shared" si="129"/>
        <v>1.3333333333333333</v>
      </c>
      <c r="T195" s="59">
        <f t="shared" si="129"/>
        <v>1.6666666666666665</v>
      </c>
      <c r="U195" s="59">
        <f t="shared" si="129"/>
        <v>1.9999999999999998</v>
      </c>
      <c r="V195" s="59">
        <f t="shared" si="128"/>
        <v>0.58333333333333337</v>
      </c>
      <c r="W195" s="69"/>
    </row>
    <row r="196" spans="8:23" x14ac:dyDescent="0.25">
      <c r="H196" s="101"/>
      <c r="I196" s="68">
        <v>1930</v>
      </c>
      <c r="J196" s="59">
        <f t="shared" si="129"/>
        <v>25.666666666666668</v>
      </c>
      <c r="K196" s="59">
        <f t="shared" si="129"/>
        <v>30.166666666666668</v>
      </c>
      <c r="L196" s="59">
        <f t="shared" si="129"/>
        <v>34.666666666666671</v>
      </c>
      <c r="M196" s="59">
        <f t="shared" si="129"/>
        <v>39.166666666666671</v>
      </c>
      <c r="N196" s="59">
        <f t="shared" si="129"/>
        <v>43.666666666666671</v>
      </c>
      <c r="O196" s="59">
        <f t="shared" si="129"/>
        <v>48.166666666666671</v>
      </c>
      <c r="P196" s="59">
        <f t="shared" si="129"/>
        <v>52.666666666666671</v>
      </c>
      <c r="Q196" s="59">
        <f t="shared" si="129"/>
        <v>57.166666666666671</v>
      </c>
      <c r="R196" s="59">
        <f t="shared" si="129"/>
        <v>61.666666666666671</v>
      </c>
      <c r="S196" s="59">
        <f t="shared" si="129"/>
        <v>66.166666666666671</v>
      </c>
      <c r="T196" s="59">
        <f t="shared" si="129"/>
        <v>70.666666666666671</v>
      </c>
      <c r="U196" s="59">
        <f t="shared" si="129"/>
        <v>75.166666666666671</v>
      </c>
      <c r="V196" s="59">
        <f t="shared" si="128"/>
        <v>50.416666666666679</v>
      </c>
      <c r="W196" s="69"/>
    </row>
    <row r="197" spans="8:23" x14ac:dyDescent="0.25">
      <c r="H197" s="101"/>
      <c r="I197" s="68">
        <v>1611</v>
      </c>
      <c r="J197" s="59">
        <f t="shared" si="129"/>
        <v>0</v>
      </c>
      <c r="K197" s="59">
        <f t="shared" si="129"/>
        <v>8.3333333333333339</v>
      </c>
      <c r="L197" s="59">
        <f t="shared" si="129"/>
        <v>16.666666666666668</v>
      </c>
      <c r="M197" s="59">
        <f t="shared" si="129"/>
        <v>25</v>
      </c>
      <c r="N197" s="59">
        <f t="shared" si="129"/>
        <v>33.333333333333336</v>
      </c>
      <c r="O197" s="59">
        <f t="shared" si="129"/>
        <v>41.666666666666671</v>
      </c>
      <c r="P197" s="59">
        <f t="shared" si="129"/>
        <v>50.000000000000007</v>
      </c>
      <c r="Q197" s="59">
        <f t="shared" si="129"/>
        <v>58.333333333333343</v>
      </c>
      <c r="R197" s="59">
        <f t="shared" si="129"/>
        <v>66.666666666666671</v>
      </c>
      <c r="S197" s="59">
        <f t="shared" si="129"/>
        <v>75</v>
      </c>
      <c r="T197" s="59">
        <f t="shared" si="129"/>
        <v>83.333333333333329</v>
      </c>
      <c r="U197" s="59">
        <f t="shared" si="129"/>
        <v>91.666666666666657</v>
      </c>
      <c r="V197" s="59">
        <f t="shared" ref="V197" si="130">AVERAGE(J197:U197)</f>
        <v>45.833333333333336</v>
      </c>
      <c r="W197" s="69"/>
    </row>
    <row r="198" spans="8:23" x14ac:dyDescent="0.25">
      <c r="H198" s="101"/>
      <c r="I198" s="68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69"/>
    </row>
    <row r="199" spans="8:23" x14ac:dyDescent="0.25">
      <c r="H199" s="101"/>
      <c r="I199" s="68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69"/>
    </row>
    <row r="200" spans="8:23" x14ac:dyDescent="0.25">
      <c r="H200" s="101"/>
      <c r="I200" s="55" t="s">
        <v>77</v>
      </c>
      <c r="J200" s="61">
        <f>SUM(J194:J199)</f>
        <v>25.666666666666668</v>
      </c>
      <c r="K200" s="61">
        <f t="shared" ref="K200:V200" si="131">SUM(K194:K199)</f>
        <v>38.5</v>
      </c>
      <c r="L200" s="61">
        <f t="shared" si="131"/>
        <v>51.333333333333343</v>
      </c>
      <c r="M200" s="61">
        <f t="shared" si="131"/>
        <v>64.166666666666671</v>
      </c>
      <c r="N200" s="61">
        <f t="shared" si="131"/>
        <v>77</v>
      </c>
      <c r="O200" s="61">
        <f t="shared" si="131"/>
        <v>89.833333333333343</v>
      </c>
      <c r="P200" s="61">
        <f t="shared" si="131"/>
        <v>103.00000000000001</v>
      </c>
      <c r="Q200" s="61">
        <f t="shared" si="131"/>
        <v>116.16666666666669</v>
      </c>
      <c r="R200" s="61">
        <f t="shared" si="131"/>
        <v>129.33333333333334</v>
      </c>
      <c r="S200" s="61">
        <f t="shared" si="131"/>
        <v>142.5</v>
      </c>
      <c r="T200" s="61">
        <f t="shared" si="131"/>
        <v>164</v>
      </c>
      <c r="U200" s="61">
        <f t="shared" si="131"/>
        <v>185.5</v>
      </c>
      <c r="V200" s="61">
        <f t="shared" si="131"/>
        <v>98.916666666666686</v>
      </c>
      <c r="W200" s="69"/>
    </row>
    <row r="202" spans="8:23" x14ac:dyDescent="0.25">
      <c r="V202" s="66"/>
      <c r="W202" s="62"/>
    </row>
  </sheetData>
  <mergeCells count="52">
    <mergeCell ref="H185:W185"/>
    <mergeCell ref="H186:H192"/>
    <mergeCell ref="H193:W193"/>
    <mergeCell ref="H194:H200"/>
    <mergeCell ref="H159:W159"/>
    <mergeCell ref="H160:H166"/>
    <mergeCell ref="H167:W167"/>
    <mergeCell ref="H168:H174"/>
    <mergeCell ref="H177:I177"/>
    <mergeCell ref="H178:H184"/>
    <mergeCell ref="H152:H158"/>
    <mergeCell ref="H104:W104"/>
    <mergeCell ref="H105:H111"/>
    <mergeCell ref="H112:W112"/>
    <mergeCell ref="H113:H119"/>
    <mergeCell ref="H125:I125"/>
    <mergeCell ref="H126:H132"/>
    <mergeCell ref="H133:W133"/>
    <mergeCell ref="H134:H140"/>
    <mergeCell ref="H141:W141"/>
    <mergeCell ref="H142:H148"/>
    <mergeCell ref="H151:I151"/>
    <mergeCell ref="H44:I44"/>
    <mergeCell ref="H97:H103"/>
    <mergeCell ref="H52:W52"/>
    <mergeCell ref="H53:H59"/>
    <mergeCell ref="H60:W60"/>
    <mergeCell ref="H61:H67"/>
    <mergeCell ref="H70:I70"/>
    <mergeCell ref="H71:H77"/>
    <mergeCell ref="H78:W78"/>
    <mergeCell ref="H79:H85"/>
    <mergeCell ref="H86:W86"/>
    <mergeCell ref="H87:H93"/>
    <mergeCell ref="H96:I96"/>
    <mergeCell ref="H45:H51"/>
    <mergeCell ref="H30:H33"/>
    <mergeCell ref="H34:W34"/>
    <mergeCell ref="H35:H38"/>
    <mergeCell ref="H12:H15"/>
    <mergeCell ref="B1:F1"/>
    <mergeCell ref="H1:V1"/>
    <mergeCell ref="H6:I6"/>
    <mergeCell ref="H7:H10"/>
    <mergeCell ref="H11:V11"/>
    <mergeCell ref="H16:V16"/>
    <mergeCell ref="H17:H20"/>
    <mergeCell ref="H24:I24"/>
    <mergeCell ref="H25:H28"/>
    <mergeCell ref="H29:W29"/>
    <mergeCell ref="B38:B39"/>
    <mergeCell ref="C38:F38"/>
  </mergeCells>
  <pageMargins left="0.7" right="0.7" top="0.75" bottom="0.75" header="0.3" footer="0.3"/>
  <pageSetup orientation="portrait" r:id="rId1"/>
  <headerFooter>
    <oddFooter>&amp;L&amp;"Times New Roman,Regular"&amp;8 53141182.2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3"/>
  <sheetViews>
    <sheetView showGridLines="0" view="pageBreakPreview" zoomScaleNormal="100" zoomScaleSheetLayoutView="100" workbookViewId="0">
      <pane xSplit="3" ySplit="10" topLeftCell="J11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3" t="s">
        <v>84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2022</v>
      </c>
      <c r="S5" s="48" t="s">
        <v>74</v>
      </c>
      <c r="T5" s="41">
        <f>F5</f>
        <v>2022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100306883.5</v>
      </c>
      <c r="F21" s="15">
        <v>0</v>
      </c>
      <c r="G21" s="16">
        <f t="shared" si="9"/>
        <v>100306883.5</v>
      </c>
      <c r="H21" s="38">
        <v>50</v>
      </c>
      <c r="I21" s="32">
        <f>'2021 Combined'!L21</f>
        <v>0</v>
      </c>
      <c r="J21" s="30">
        <f t="shared" si="10"/>
        <v>429998.58999999997</v>
      </c>
      <c r="K21" s="32">
        <v>0</v>
      </c>
      <c r="L21" s="16">
        <f t="shared" si="11"/>
        <v>429998.58999999997</v>
      </c>
      <c r="M21" s="18">
        <f t="shared" si="12"/>
        <v>99876884.909999996</v>
      </c>
      <c r="O21" s="42">
        <v>47</v>
      </c>
      <c r="P21" s="42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100306883.5</v>
      </c>
      <c r="V21" s="18">
        <f>'2022 LTPL'!V21+'2022 RCL'!V21</f>
        <v>21499929.5</v>
      </c>
      <c r="W21" s="39">
        <f t="shared" si="13"/>
        <v>50</v>
      </c>
      <c r="X21" s="19">
        <f t="shared" si="14"/>
        <v>0.02</v>
      </c>
      <c r="Y21" s="18">
        <f>'2022 LTPL'!Y21+'2022 RCL'!Y21</f>
        <v>429998.58999999997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12772222.34</v>
      </c>
      <c r="F22" s="15">
        <v>0</v>
      </c>
      <c r="G22" s="16">
        <f t="shared" si="9"/>
        <v>12772222.34</v>
      </c>
      <c r="H22" s="38">
        <v>40</v>
      </c>
      <c r="I22" s="32">
        <f>'2021 Combined'!L22</f>
        <v>0</v>
      </c>
      <c r="J22" s="30">
        <f t="shared" si="10"/>
        <v>77637.649999999994</v>
      </c>
      <c r="K22" s="32">
        <v>0</v>
      </c>
      <c r="L22" s="16">
        <f t="shared" si="11"/>
        <v>77637.649999999994</v>
      </c>
      <c r="M22" s="18">
        <f t="shared" si="12"/>
        <v>12694584.689999999</v>
      </c>
      <c r="O22" s="42">
        <v>47</v>
      </c>
      <c r="P22" s="42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12772222.34</v>
      </c>
      <c r="V22" s="18">
        <f>'2022 LTPL'!V22+'2022 RCL'!V22</f>
        <v>3105506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77637.649999999994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4360014.8499999996</v>
      </c>
      <c r="F23" s="15">
        <v>0</v>
      </c>
      <c r="G23" s="16">
        <f t="shared" si="9"/>
        <v>4360014.8499999996</v>
      </c>
      <c r="H23" s="38">
        <v>20</v>
      </c>
      <c r="I23" s="32">
        <f>'2021 Combined'!L23</f>
        <v>0</v>
      </c>
      <c r="J23" s="30">
        <f t="shared" si="10"/>
        <v>45557.64</v>
      </c>
      <c r="K23" s="32">
        <v>0</v>
      </c>
      <c r="L23" s="16">
        <f t="shared" si="11"/>
        <v>45557.64</v>
      </c>
      <c r="M23" s="18">
        <f>G23-L23</f>
        <v>4314457.21</v>
      </c>
      <c r="O23" s="42">
        <v>47</v>
      </c>
      <c r="P23" s="42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4360014.8499999996</v>
      </c>
      <c r="V23" s="18">
        <f>'2022 LTPL'!V23+'2022 RCL'!V23</f>
        <v>911152.79999999993</v>
      </c>
      <c r="W23" s="39">
        <f t="shared" si="13"/>
        <v>20</v>
      </c>
      <c r="X23" s="19">
        <f t="shared" si="14"/>
        <v>0.05</v>
      </c>
      <c r="Y23" s="18">
        <f>'2022 LTPL'!Y23+'2022 RCL'!Y23</f>
        <v>45557.64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255216233.93000001</v>
      </c>
      <c r="F24" s="15">
        <v>0</v>
      </c>
      <c r="G24" s="16">
        <f t="shared" si="9"/>
        <v>255216233.93000001</v>
      </c>
      <c r="H24" s="38">
        <v>60</v>
      </c>
      <c r="I24" s="32">
        <f>'2021 Combined'!L24</f>
        <v>0</v>
      </c>
      <c r="J24" s="30">
        <f t="shared" si="10"/>
        <v>974571.96</v>
      </c>
      <c r="K24" s="32">
        <v>0</v>
      </c>
      <c r="L24" s="16">
        <f t="shared" si="11"/>
        <v>974571.96</v>
      </c>
      <c r="M24" s="18">
        <f t="shared" ref="M24:M46" si="15">G24-L24</f>
        <v>254241661.97</v>
      </c>
      <c r="O24" s="42">
        <v>47</v>
      </c>
      <c r="P24" s="42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255216233.93000001</v>
      </c>
      <c r="V24" s="18">
        <f>'2022 LTPL'!V24+'2022 RCL'!V24</f>
        <v>58474317.600000009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974571.96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1727764.71</v>
      </c>
      <c r="F25" s="15">
        <v>0</v>
      </c>
      <c r="G25" s="16">
        <f t="shared" si="9"/>
        <v>1727764.71</v>
      </c>
      <c r="H25" s="38">
        <v>45</v>
      </c>
      <c r="I25" s="32">
        <f>'2021 Combined'!L25</f>
        <v>0</v>
      </c>
      <c r="J25" s="30">
        <f t="shared" si="10"/>
        <v>4123.38</v>
      </c>
      <c r="K25" s="32">
        <v>0</v>
      </c>
      <c r="L25" s="16">
        <f t="shared" si="11"/>
        <v>4123.38</v>
      </c>
      <c r="M25" s="18">
        <f t="shared" si="15"/>
        <v>1723641.33</v>
      </c>
      <c r="O25" s="42">
        <v>47</v>
      </c>
      <c r="P25" s="42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1727764.71</v>
      </c>
      <c r="V25" s="18">
        <f>'2022 LTPL'!V25+'2022 RCL'!V25</f>
        <v>185552.1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4123.38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304804364.36000001</v>
      </c>
      <c r="F26" s="15">
        <v>0</v>
      </c>
      <c r="G26" s="16">
        <f t="shared" si="9"/>
        <v>304804364.36000001</v>
      </c>
      <c r="H26" s="38">
        <v>45</v>
      </c>
      <c r="I26" s="32">
        <f>'2021 Combined'!L26</f>
        <v>0</v>
      </c>
      <c r="J26" s="30">
        <f t="shared" si="10"/>
        <v>1557033.94</v>
      </c>
      <c r="K26" s="32">
        <v>0</v>
      </c>
      <c r="L26" s="16">
        <f t="shared" si="11"/>
        <v>1557033.94</v>
      </c>
      <c r="M26" s="18">
        <f t="shared" si="15"/>
        <v>303247330.42000002</v>
      </c>
      <c r="O26" s="42">
        <v>47</v>
      </c>
      <c r="P26" s="42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304804364.36000001</v>
      </c>
      <c r="V26" s="18">
        <f>'2022 LTPL'!V26+'2022 RCL'!V26</f>
        <v>70066527.299999997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1557033.94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89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6" si="16">SUM(D31:F31)</f>
        <v>0</v>
      </c>
      <c r="H31" s="38">
        <v>0</v>
      </c>
      <c r="I31" s="32">
        <f>'2021 Combined'!L31</f>
        <v>0</v>
      </c>
      <c r="J31" s="30">
        <f t="shared" ref="J31:J46" si="17">Y31</f>
        <v>0</v>
      </c>
      <c r="K31" s="32">
        <v>0</v>
      </c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6" si="21">T32+U32*8/12</f>
        <v>0</v>
      </c>
      <c r="W32" s="39">
        <f t="shared" si="19"/>
        <v>50</v>
      </c>
      <c r="X32" s="19">
        <f>IF(H32=0,"-",1/W32)</f>
        <v>0.02</v>
      </c>
      <c r="Y32" s="18">
        <f t="shared" ref="Y32:Y46" si="22">IF(V32=0,0,V32*X32)</f>
        <v>0</v>
      </c>
    </row>
    <row r="33" spans="1:25" x14ac:dyDescent="0.2">
      <c r="A33" s="42"/>
      <c r="B33" s="42">
        <v>1910</v>
      </c>
      <c r="C33" s="14" t="s">
        <v>26</v>
      </c>
      <c r="D33" s="15"/>
      <c r="E33" s="15"/>
      <c r="F33" s="15"/>
      <c r="G33" s="16"/>
      <c r="H33" s="38"/>
      <c r="I33" s="32"/>
      <c r="J33" s="30"/>
      <c r="K33" s="32"/>
      <c r="L33" s="16"/>
      <c r="M33" s="18"/>
      <c r="O33" s="42"/>
      <c r="P33" s="42"/>
      <c r="Q33" s="14"/>
      <c r="R33" s="18"/>
      <c r="S33" s="32"/>
      <c r="T33" s="18"/>
      <c r="U33" s="18"/>
      <c r="V33" s="18"/>
      <c r="W33" s="39"/>
      <c r="X33" s="19"/>
      <c r="Y33" s="18"/>
    </row>
    <row r="34" spans="1:25" x14ac:dyDescent="0.2">
      <c r="A34" s="42">
        <v>8</v>
      </c>
      <c r="B34" s="42">
        <v>1915</v>
      </c>
      <c r="C34" s="14" t="s">
        <v>32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10</v>
      </c>
      <c r="I34" s="32">
        <f>'2021 Combined'!L33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10</v>
      </c>
      <c r="X34" s="19">
        <f t="shared" si="20"/>
        <v>0.1</v>
      </c>
      <c r="Y34" s="18">
        <f t="shared" si="22"/>
        <v>0</v>
      </c>
    </row>
    <row r="35" spans="1:25" x14ac:dyDescent="0.2">
      <c r="A35" s="42"/>
      <c r="B35" s="42">
        <v>1920</v>
      </c>
      <c r="C35" s="14" t="s">
        <v>33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>
        <v>0</v>
      </c>
      <c r="I35" s="32">
        <f>'2021 Combined'!L34</f>
        <v>0</v>
      </c>
      <c r="J35" s="30">
        <f t="shared" si="17"/>
        <v>0</v>
      </c>
      <c r="K35" s="32">
        <v>0</v>
      </c>
      <c r="L35" s="16">
        <f t="shared" si="18"/>
        <v>0</v>
      </c>
      <c r="M35" s="18">
        <f t="shared" si="15"/>
        <v>0</v>
      </c>
      <c r="O35" s="42"/>
      <c r="P35" s="42">
        <v>1920</v>
      </c>
      <c r="Q35" s="14" t="s">
        <v>33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0</v>
      </c>
      <c r="V35" s="18">
        <f t="shared" si="21"/>
        <v>0</v>
      </c>
      <c r="W35" s="39">
        <f t="shared" si="19"/>
        <v>0</v>
      </c>
      <c r="X35" s="19" t="str">
        <f t="shared" si="20"/>
        <v>-</v>
      </c>
      <c r="Y35" s="18">
        <f t="shared" si="22"/>
        <v>0</v>
      </c>
    </row>
    <row r="36" spans="1:25" x14ac:dyDescent="0.2">
      <c r="A36" s="42">
        <v>10.1</v>
      </c>
      <c r="B36" s="42">
        <v>1930</v>
      </c>
      <c r="C36" s="14" t="s">
        <v>34</v>
      </c>
      <c r="D36" s="15">
        <v>0</v>
      </c>
      <c r="E36" s="15">
        <v>155391.73000000001</v>
      </c>
      <c r="F36" s="15">
        <v>0</v>
      </c>
      <c r="G36" s="16">
        <f t="shared" si="16"/>
        <v>155391.73000000001</v>
      </c>
      <c r="H36" s="38">
        <v>5</v>
      </c>
      <c r="I36" s="32">
        <f>'2021 Combined'!L35</f>
        <v>0</v>
      </c>
      <c r="J36" s="30">
        <f t="shared" si="17"/>
        <v>15539.173000000003</v>
      </c>
      <c r="K36" s="32">
        <v>0</v>
      </c>
      <c r="L36" s="16">
        <f t="shared" si="18"/>
        <v>15539.173000000003</v>
      </c>
      <c r="M36" s="18">
        <f t="shared" si="15"/>
        <v>139852.557</v>
      </c>
      <c r="O36" s="42">
        <v>10.1</v>
      </c>
      <c r="P36" s="42">
        <v>1930</v>
      </c>
      <c r="Q36" s="14" t="s">
        <v>34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155391.73000000001</v>
      </c>
      <c r="V36" s="18">
        <f>T36+U36*6/12</f>
        <v>77695.865000000005</v>
      </c>
      <c r="W36" s="39">
        <f t="shared" si="19"/>
        <v>5</v>
      </c>
      <c r="X36" s="19">
        <f t="shared" si="20"/>
        <v>0.2</v>
      </c>
      <c r="Y36" s="18">
        <f t="shared" si="22"/>
        <v>15539.173000000003</v>
      </c>
    </row>
    <row r="37" spans="1:25" x14ac:dyDescent="0.2">
      <c r="A37" s="42"/>
      <c r="B37" s="42">
        <v>1935</v>
      </c>
      <c r="C37" s="14" t="s">
        <v>35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Combined'!L36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42"/>
      <c r="B38" s="42">
        <v>1940</v>
      </c>
      <c r="C38" s="14" t="s">
        <v>39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Combined'!L37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42"/>
      <c r="P38" s="42">
        <v>1940</v>
      </c>
      <c r="Q38" s="14" t="s">
        <v>39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42"/>
      <c r="B39" s="42">
        <v>1945</v>
      </c>
      <c r="C39" s="14" t="s">
        <v>40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Combined'!L38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42"/>
      <c r="P39" s="42">
        <v>1945</v>
      </c>
      <c r="Q39" s="14" t="s">
        <v>40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42"/>
      <c r="B40" s="42">
        <v>1950</v>
      </c>
      <c r="C40" s="14" t="s">
        <v>41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Combined'!L39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42"/>
      <c r="B41" s="42">
        <v>1955</v>
      </c>
      <c r="C41" s="14" t="s">
        <v>42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Combined'!L40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42"/>
      <c r="B42" s="42">
        <v>1960</v>
      </c>
      <c r="C42" s="14" t="s">
        <v>43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Combined'!L41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42"/>
      <c r="B43" s="42">
        <v>1980</v>
      </c>
      <c r="C43" s="14" t="s">
        <v>44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Combined'!L42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2"/>
      <c r="B44" s="42">
        <v>1995</v>
      </c>
      <c r="C44" s="14" t="s">
        <v>12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Combined'!L43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2"/>
      <c r="P44" s="42">
        <v>1995</v>
      </c>
      <c r="Q44" s="14" t="s">
        <v>12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43"/>
      <c r="B45" s="43">
        <v>2440</v>
      </c>
      <c r="C45" s="40" t="s">
        <v>57</v>
      </c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Combined'!L44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 t="shared" si="19"/>
        <v>0</v>
      </c>
      <c r="X45" s="19" t="str">
        <f t="shared" si="20"/>
        <v>-</v>
      </c>
      <c r="Y45" s="18">
        <f t="shared" si="22"/>
        <v>0</v>
      </c>
    </row>
    <row r="46" spans="1:25" x14ac:dyDescent="0.2">
      <c r="A46" s="42"/>
      <c r="B46" s="42"/>
      <c r="C46" s="14"/>
      <c r="D46" s="15">
        <v>0</v>
      </c>
      <c r="E46" s="15">
        <v>0</v>
      </c>
      <c r="F46" s="15">
        <v>0</v>
      </c>
      <c r="G46" s="16">
        <f t="shared" si="16"/>
        <v>0</v>
      </c>
      <c r="H46" s="38">
        <v>0</v>
      </c>
      <c r="I46" s="32">
        <f>'2021 Combined'!L45</f>
        <v>0</v>
      </c>
      <c r="J46" s="30">
        <f t="shared" si="17"/>
        <v>0</v>
      </c>
      <c r="K46" s="32">
        <v>0</v>
      </c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21"/>
        <v>0</v>
      </c>
      <c r="W46" s="39">
        <f>H46</f>
        <v>0</v>
      </c>
      <c r="X46" s="19" t="str">
        <f t="shared" si="20"/>
        <v>-</v>
      </c>
      <c r="Y46" s="18">
        <f t="shared" si="22"/>
        <v>0</v>
      </c>
    </row>
    <row r="47" spans="1:25" s="4" customFormat="1" x14ac:dyDescent="0.2">
      <c r="A47" s="44"/>
      <c r="B47" s="44"/>
      <c r="C47" s="20" t="s">
        <v>58</v>
      </c>
      <c r="D47" s="22">
        <f>SUM(D12:D15,D17:D29,D31:D46)</f>
        <v>0</v>
      </c>
      <c r="E47" s="22">
        <f>SUM(E12:E15,E17:E29,E31:E46)</f>
        <v>679342875.42000008</v>
      </c>
      <c r="F47" s="22">
        <f>SUM(F12:F15,F17:F29,F31:F46)</f>
        <v>0</v>
      </c>
      <c r="G47" s="22">
        <f>SUM(G12:G15,G17:G29,G31:G46)</f>
        <v>679342875.42000008</v>
      </c>
      <c r="H47" s="33"/>
      <c r="I47" s="22">
        <f>SUM(I12:I15,I17:I29,I31:I46)</f>
        <v>0</v>
      </c>
      <c r="J47" s="22">
        <f>SUM(J12:J15,J17:J29,J31:J46)</f>
        <v>3104462.3329999996</v>
      </c>
      <c r="K47" s="22">
        <f>SUM(K12:K15,K17:K29,K31:K46)</f>
        <v>0</v>
      </c>
      <c r="L47" s="22">
        <f>SUM(L12:L15,L17:L29,L31:L46)</f>
        <v>3104462.3329999996</v>
      </c>
      <c r="M47" s="22">
        <f>SUM(M12:M15,M17:M29,M31:M46)</f>
        <v>676238413.08700001</v>
      </c>
      <c r="N47" s="46"/>
      <c r="O47" s="44"/>
      <c r="P47" s="44"/>
      <c r="Q47" s="20" t="s">
        <v>77</v>
      </c>
      <c r="R47" s="22">
        <f>SUM(R12:R15,R17:R29,R31:R46)</f>
        <v>0</v>
      </c>
      <c r="S47" s="22">
        <f>SUM(S12:S15,S17:S29,S31:S46)</f>
        <v>0</v>
      </c>
      <c r="T47" s="22">
        <f>SUM(T12:T15,T17:T29,T31:T46)</f>
        <v>0</v>
      </c>
      <c r="U47" s="22">
        <f>SUM(U12:U15,U17:U29,U31:U46)</f>
        <v>679342875.42000008</v>
      </c>
      <c r="V47" s="22">
        <f>SUM(V12:V15,V17:V29,V31:V46)</f>
        <v>154320681.16500002</v>
      </c>
      <c r="W47" s="24"/>
      <c r="X47" s="24"/>
      <c r="Y47" s="22">
        <f>SUM(Y12:Y15,Y17:Y29,Y31:Y45)</f>
        <v>3104462.3329999996</v>
      </c>
    </row>
    <row r="48" spans="1:25" x14ac:dyDescent="0.2">
      <c r="A48" s="42"/>
      <c r="B48" s="44">
        <v>2055</v>
      </c>
      <c r="C48" s="20" t="s">
        <v>59</v>
      </c>
      <c r="D48" s="15">
        <v>915254096</v>
      </c>
      <c r="E48" s="15">
        <f>652326942-D48-F48</f>
        <v>416415721.42000008</v>
      </c>
      <c r="F48" s="15">
        <v>-679342875.42000008</v>
      </c>
      <c r="G48" s="16">
        <f t="shared" ref="G48:G49" si="23">SUM(D48:F48)</f>
        <v>652326942</v>
      </c>
      <c r="H48" s="33"/>
      <c r="I48" s="32">
        <v>0</v>
      </c>
      <c r="J48" s="32">
        <v>0</v>
      </c>
      <c r="K48" s="32">
        <v>0</v>
      </c>
      <c r="L48" s="16">
        <f t="shared" ref="L48:L49" si="24">SUM(I48:K48)</f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/>
      <c r="E49" s="15"/>
      <c r="F49" s="15">
        <v>0</v>
      </c>
      <c r="G49" s="16">
        <f t="shared" si="23"/>
        <v>0</v>
      </c>
      <c r="H49" s="33"/>
      <c r="I49" s="32">
        <v>0</v>
      </c>
      <c r="J49" s="32">
        <v>0</v>
      </c>
      <c r="K49" s="32">
        <v>0</v>
      </c>
      <c r="L49" s="16">
        <f t="shared" si="24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915254096</v>
      </c>
      <c r="E50" s="16">
        <f>SUM(E47:E49)</f>
        <v>1095758596.8400002</v>
      </c>
      <c r="F50" s="16">
        <f>SUM(F47:F49)</f>
        <v>-679342875.42000008</v>
      </c>
      <c r="G50" s="16">
        <f>SUM(G47:G49)</f>
        <v>1331669817.4200001</v>
      </c>
      <c r="H50" s="33"/>
      <c r="I50" s="16">
        <f>SUM(I47:I49)</f>
        <v>0</v>
      </c>
      <c r="J50" s="16">
        <f>SUM(J47:J49)</f>
        <v>3104462.3329999996</v>
      </c>
      <c r="K50" s="16">
        <f>SUM(K47:K49)</f>
        <v>0</v>
      </c>
      <c r="L50" s="16">
        <f>SUM(L47:L49)</f>
        <v>3104462.3329999996</v>
      </c>
      <c r="M50" s="16">
        <f>SUM(M47:M49)</f>
        <v>676238413.08700001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8" t="s">
        <v>62</v>
      </c>
      <c r="D51" s="88"/>
      <c r="E51" s="88"/>
      <c r="F51" s="88"/>
      <c r="G51" s="88"/>
      <c r="H51" s="88"/>
      <c r="I51" s="88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9" t="s">
        <v>63</v>
      </c>
      <c r="D52" s="89"/>
      <c r="E52" s="89"/>
      <c r="F52" s="89"/>
      <c r="G52" s="89"/>
      <c r="H52" s="89"/>
      <c r="I52" s="89"/>
      <c r="J52" s="16">
        <f>J50+J51</f>
        <v>3104462.3329999996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3104462.3329999996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C52:I52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1:I51"/>
    <mergeCell ref="A2:M2"/>
    <mergeCell ref="D4:E4"/>
    <mergeCell ref="D7:H7"/>
    <mergeCell ref="D9:G9"/>
    <mergeCell ref="I9:L9"/>
  </mergeCells>
  <pageMargins left="0.7" right="0.7" top="0.75" bottom="0.75" header="0.3" footer="0.3"/>
  <pageSetup scale="71" orientation="landscape" r:id="rId1"/>
  <headerFooter>
    <oddFooter>&amp;L&amp;"Times New Roman,Regular"&amp;8 53141182.2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AA62"/>
  <sheetViews>
    <sheetView showGridLines="0" view="pageBreakPreview" zoomScale="130" zoomScaleNormal="100" zoomScaleSheetLayoutView="130" workbookViewId="0">
      <pane xSplit="3" ySplit="10" topLeftCell="D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3.85546875" style="1" customWidth="1"/>
    <col min="23" max="23" width="9.140625" style="1"/>
    <col min="24" max="24" width="13.140625" style="1" customWidth="1"/>
    <col min="25" max="25" width="11.85546875" style="1" customWidth="1"/>
    <col min="26" max="26" width="9.85546875" style="1" bestFit="1" customWidth="1"/>
    <col min="27" max="16384" width="9.140625" style="1"/>
  </cols>
  <sheetData>
    <row r="2" spans="1:25" ht="21" x14ac:dyDescent="0.35">
      <c r="A2" s="83" t="s">
        <v>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2022</v>
      </c>
      <c r="T5" s="48" t="s">
        <v>74</v>
      </c>
      <c r="U5" s="41">
        <f>F5</f>
        <v>2022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7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7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7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7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7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35850037.909999996</v>
      </c>
      <c r="F21" s="15">
        <v>0</v>
      </c>
      <c r="G21" s="16">
        <v>35850037.909999996</v>
      </c>
      <c r="H21" s="38">
        <f>'2022 Combined'!H21</f>
        <v>50</v>
      </c>
      <c r="I21" s="32"/>
      <c r="J21" s="30">
        <f t="shared" si="10"/>
        <v>239000.25</v>
      </c>
      <c r="K21" s="32"/>
      <c r="L21" s="16">
        <f t="shared" si="11"/>
        <v>239000.25</v>
      </c>
      <c r="M21" s="18">
        <f t="shared" si="12"/>
        <v>35611037.659999996</v>
      </c>
      <c r="O21" s="42">
        <v>47</v>
      </c>
      <c r="P21" s="42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>E21</f>
        <v>35850037.909999996</v>
      </c>
      <c r="V21" s="50">
        <v>11950012.5</v>
      </c>
      <c r="W21" s="39">
        <f t="shared" si="14"/>
        <v>50</v>
      </c>
      <c r="X21" s="19">
        <f t="shared" si="15"/>
        <v>0.02</v>
      </c>
      <c r="Y21" s="18">
        <v>239000.25</v>
      </c>
      <c r="Z21" s="6"/>
      <c r="AA21" s="74"/>
    </row>
    <row r="22" spans="1:27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6156917.75</v>
      </c>
      <c r="F22" s="15">
        <v>0</v>
      </c>
      <c r="G22" s="16">
        <v>6156917.75</v>
      </c>
      <c r="H22" s="38">
        <f>'2022 Combined'!H22</f>
        <v>40</v>
      </c>
      <c r="I22" s="32"/>
      <c r="J22" s="30">
        <f t="shared" si="10"/>
        <v>51307.65</v>
      </c>
      <c r="K22" s="32"/>
      <c r="L22" s="16">
        <f t="shared" si="11"/>
        <v>51307.65</v>
      </c>
      <c r="M22" s="18">
        <f t="shared" si="12"/>
        <v>6105610.0999999996</v>
      </c>
      <c r="O22" s="42">
        <v>47</v>
      </c>
      <c r="P22" s="42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6156917.75</v>
      </c>
      <c r="V22" s="50">
        <v>2052306</v>
      </c>
      <c r="W22" s="39">
        <f t="shared" si="14"/>
        <v>40</v>
      </c>
      <c r="X22" s="19">
        <f t="shared" si="15"/>
        <v>2.5000000000000001E-2</v>
      </c>
      <c r="Y22" s="18">
        <v>51307.65</v>
      </c>
      <c r="Z22" s="6"/>
    </row>
    <row r="23" spans="1:27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1485731.23</v>
      </c>
      <c r="F23" s="15">
        <v>0</v>
      </c>
      <c r="G23" s="16">
        <v>1485731.23</v>
      </c>
      <c r="H23" s="38">
        <f>'2022 Combined'!H23</f>
        <v>20</v>
      </c>
      <c r="I23" s="32"/>
      <c r="J23" s="30">
        <f t="shared" si="10"/>
        <v>24762.19</v>
      </c>
      <c r="K23" s="32"/>
      <c r="L23" s="16">
        <f t="shared" si="11"/>
        <v>24762.19</v>
      </c>
      <c r="M23" s="18">
        <f>G23-L23</f>
        <v>1460969.04</v>
      </c>
      <c r="O23" s="42">
        <v>47</v>
      </c>
      <c r="P23" s="42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1485731.23</v>
      </c>
      <c r="V23" s="50">
        <v>495243.79999999993</v>
      </c>
      <c r="W23" s="39">
        <f t="shared" si="14"/>
        <v>20</v>
      </c>
      <c r="X23" s="19">
        <f t="shared" si="15"/>
        <v>0.05</v>
      </c>
      <c r="Y23" s="18">
        <v>24762.19</v>
      </c>
      <c r="Z23" s="6"/>
    </row>
    <row r="24" spans="1:27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112607524.87</v>
      </c>
      <c r="F24" s="15">
        <v>0</v>
      </c>
      <c r="G24" s="16">
        <v>112607524.87</v>
      </c>
      <c r="H24" s="38">
        <f>'2022 Combined'!H24</f>
        <v>60</v>
      </c>
      <c r="I24" s="32"/>
      <c r="J24" s="30">
        <f t="shared" si="10"/>
        <v>625597.37</v>
      </c>
      <c r="K24" s="32"/>
      <c r="L24" s="16">
        <f t="shared" si="11"/>
        <v>625597.37</v>
      </c>
      <c r="M24" s="18">
        <f t="shared" ref="M24:M45" si="17">G24-L24</f>
        <v>111981927.5</v>
      </c>
      <c r="O24" s="42">
        <v>47</v>
      </c>
      <c r="P24" s="42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112607524.87</v>
      </c>
      <c r="V24" s="50">
        <v>37535842.200000003</v>
      </c>
      <c r="W24" s="39">
        <f t="shared" si="14"/>
        <v>60</v>
      </c>
      <c r="X24" s="19">
        <f t="shared" si="15"/>
        <v>1.6666666666666666E-2</v>
      </c>
      <c r="Y24" s="18">
        <v>625597.37</v>
      </c>
      <c r="Z24" s="6"/>
    </row>
    <row r="25" spans="1:27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  <c r="Z25" s="6"/>
    </row>
    <row r="26" spans="1:27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134211114.39</v>
      </c>
      <c r="F26" s="15">
        <v>0</v>
      </c>
      <c r="G26" s="16">
        <v>134211114.39</v>
      </c>
      <c r="H26" s="38">
        <f>'2022 Combined'!H26</f>
        <v>45</v>
      </c>
      <c r="I26" s="32"/>
      <c r="J26" s="30">
        <f t="shared" si="10"/>
        <v>994156.4</v>
      </c>
      <c r="K26" s="32"/>
      <c r="L26" s="16">
        <f t="shared" si="11"/>
        <v>994156.4</v>
      </c>
      <c r="M26" s="18">
        <f t="shared" si="17"/>
        <v>133216957.98999999</v>
      </c>
      <c r="O26" s="42">
        <v>47</v>
      </c>
      <c r="P26" s="42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134211114.39</v>
      </c>
      <c r="V26" s="50">
        <v>44737038</v>
      </c>
      <c r="W26" s="39">
        <f t="shared" si="14"/>
        <v>45</v>
      </c>
      <c r="X26" s="19">
        <f>IF(H26=0,"-",1/W26)</f>
        <v>2.2222222222222223E-2</v>
      </c>
      <c r="Y26" s="18">
        <v>994156.4</v>
      </c>
      <c r="Z26" s="6"/>
    </row>
    <row r="27" spans="1:27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8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7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8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7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8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7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7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7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290311326.14999998</v>
      </c>
      <c r="F46" s="22">
        <f>SUM(F12:F15,F17:F29,F31:F45)</f>
        <v>0</v>
      </c>
      <c r="G46" s="22">
        <f>SUM(G12:G15,G17:G29,G31:G45)</f>
        <v>290311326.14999998</v>
      </c>
      <c r="H46" s="33"/>
      <c r="I46" s="22">
        <f>SUM(I12:I15,I17:I29,I31:I45)</f>
        <v>0</v>
      </c>
      <c r="J46" s="22">
        <f>SUM(J12:J15,J17:J29,J31:J45)</f>
        <v>1934823.8599999999</v>
      </c>
      <c r="K46" s="22">
        <f>SUM(K12:K15,K17:K29,K31:K45)</f>
        <v>0</v>
      </c>
      <c r="L46" s="22">
        <f>SUM(L12:L15,L17:L29,L31:L45)</f>
        <v>1934823.8599999999</v>
      </c>
      <c r="M46" s="22">
        <f>SUM(M12:M15,M17:M29,M31:M45)</f>
        <v>288376502.29000002</v>
      </c>
      <c r="N46" s="23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290311326.14999998</v>
      </c>
      <c r="V46" s="22">
        <f>SUM(V12:V15,V17:V29,V31:V45)</f>
        <v>96770442.5</v>
      </c>
      <c r="W46" s="24"/>
      <c r="X46" s="24"/>
      <c r="Y46" s="22">
        <f>SUM(Y12:Y15,Y17:Y29,Y31:Y44)</f>
        <v>1934823.8599999999</v>
      </c>
    </row>
    <row r="47" spans="1:25" x14ac:dyDescent="0.2">
      <c r="A47" s="42"/>
      <c r="B47" s="44">
        <v>2055</v>
      </c>
      <c r="C47" s="20" t="s">
        <v>59</v>
      </c>
      <c r="D47" s="15"/>
      <c r="E47" s="15"/>
      <c r="F47" s="15"/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/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0</v>
      </c>
      <c r="E49" s="16">
        <f>SUM(E46:E48)</f>
        <v>290311326.14999998</v>
      </c>
      <c r="F49" s="16">
        <f>SUM(F46:F48)</f>
        <v>0</v>
      </c>
      <c r="G49" s="16">
        <f>SUM(G46:G48)</f>
        <v>290311326.14999998</v>
      </c>
      <c r="H49" s="33"/>
      <c r="I49" s="16">
        <f>SUM(I46:I48)</f>
        <v>0</v>
      </c>
      <c r="J49" s="16">
        <f>SUM(J46:J48)</f>
        <v>1934823.8599999999</v>
      </c>
      <c r="K49" s="16">
        <f>SUM(K46:K48)</f>
        <v>0</v>
      </c>
      <c r="L49" s="16">
        <f>SUM(L46:L48)</f>
        <v>1934823.8599999999</v>
      </c>
      <c r="M49" s="16">
        <f>SUM(M46:M48)</f>
        <v>288376502.29000002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1934823.8599999999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1934823.8599999999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scale="75" orientation="landscape" r:id="rId1"/>
  <headerFooter>
    <oddFooter>&amp;L&amp;"Times New Roman,Regular"&amp;8 53141182.2</oddFoot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Z62"/>
  <sheetViews>
    <sheetView showGridLines="0" view="pageBreakPreview" zoomScale="130" zoomScaleNormal="100" zoomScaleSheetLayoutView="130" workbookViewId="0">
      <pane xSplit="3" ySplit="10" topLeftCell="R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26" width="11.140625" style="1" bestFit="1" customWidth="1"/>
    <col min="27" max="16384" width="9.140625" style="1"/>
  </cols>
  <sheetData>
    <row r="2" spans="1:25" ht="21" x14ac:dyDescent="0.35">
      <c r="A2" s="83" t="s">
        <v>81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2022</v>
      </c>
      <c r="T5" s="48" t="s">
        <v>74</v>
      </c>
      <c r="U5" s="41">
        <f>F5</f>
        <v>2022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6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6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42"/>
      <c r="P18" s="42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6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6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64456845.590000004</v>
      </c>
      <c r="F21" s="15">
        <v>0</v>
      </c>
      <c r="G21" s="16">
        <f t="shared" si="4"/>
        <v>64456845.590000004</v>
      </c>
      <c r="H21" s="38">
        <f>'2022 Combined'!H21</f>
        <v>50</v>
      </c>
      <c r="I21" s="32"/>
      <c r="J21" s="30">
        <f t="shared" si="5"/>
        <v>190998.34</v>
      </c>
      <c r="K21" s="32"/>
      <c r="L21" s="16">
        <f t="shared" si="6"/>
        <v>190998.34</v>
      </c>
      <c r="M21" s="18">
        <f t="shared" si="7"/>
        <v>64265847.25</v>
      </c>
      <c r="O21" s="42">
        <v>47</v>
      </c>
      <c r="P21" s="42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f>E21</f>
        <v>64456845.590000004</v>
      </c>
      <c r="V21" s="18">
        <v>9549917</v>
      </c>
      <c r="W21" s="39">
        <f t="shared" si="11"/>
        <v>50</v>
      </c>
      <c r="X21" s="19">
        <f t="shared" si="12"/>
        <v>0.02</v>
      </c>
      <c r="Y21" s="18">
        <v>190998.34</v>
      </c>
      <c r="Z21" s="75"/>
    </row>
    <row r="22" spans="1:26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6615304.5899999999</v>
      </c>
      <c r="F22" s="15">
        <v>0</v>
      </c>
      <c r="G22" s="16">
        <f t="shared" si="4"/>
        <v>6615304.5899999999</v>
      </c>
      <c r="H22" s="38">
        <f>'2022 Combined'!H22</f>
        <v>40</v>
      </c>
      <c r="I22" s="32"/>
      <c r="J22" s="30">
        <f t="shared" si="5"/>
        <v>26330</v>
      </c>
      <c r="K22" s="32"/>
      <c r="L22" s="16">
        <f t="shared" si="6"/>
        <v>26330</v>
      </c>
      <c r="M22" s="18">
        <f t="shared" si="7"/>
        <v>6588974.5899999999</v>
      </c>
      <c r="O22" s="42">
        <v>47</v>
      </c>
      <c r="P22" s="42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f t="shared" si="9"/>
        <v>6615304.5899999999</v>
      </c>
      <c r="V22" s="18">
        <v>1053200</v>
      </c>
      <c r="W22" s="39">
        <f t="shared" si="11"/>
        <v>40</v>
      </c>
      <c r="X22" s="19">
        <f t="shared" si="12"/>
        <v>2.5000000000000001E-2</v>
      </c>
      <c r="Y22" s="18">
        <v>26330</v>
      </c>
      <c r="Z22" s="75"/>
    </row>
    <row r="23" spans="1:26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2874283.62</v>
      </c>
      <c r="F23" s="15">
        <v>0</v>
      </c>
      <c r="G23" s="16">
        <f t="shared" si="4"/>
        <v>2874283.62</v>
      </c>
      <c r="H23" s="38">
        <f>'2022 Combined'!H23</f>
        <v>20</v>
      </c>
      <c r="I23" s="32"/>
      <c r="J23" s="30">
        <f t="shared" si="5"/>
        <v>20795.45</v>
      </c>
      <c r="K23" s="32"/>
      <c r="L23" s="16">
        <f t="shared" si="6"/>
        <v>20795.45</v>
      </c>
      <c r="M23" s="18">
        <f>G23-L23</f>
        <v>2853488.17</v>
      </c>
      <c r="O23" s="42">
        <v>47</v>
      </c>
      <c r="P23" s="42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f t="shared" si="9"/>
        <v>2874283.62</v>
      </c>
      <c r="V23" s="18">
        <v>415909</v>
      </c>
      <c r="W23" s="39">
        <f t="shared" si="11"/>
        <v>20</v>
      </c>
      <c r="X23" s="19">
        <f t="shared" si="12"/>
        <v>0.05</v>
      </c>
      <c r="Y23" s="18">
        <v>20795.45</v>
      </c>
      <c r="Z23" s="75"/>
    </row>
    <row r="24" spans="1:26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142608709.06</v>
      </c>
      <c r="F24" s="15">
        <v>0</v>
      </c>
      <c r="G24" s="16">
        <f t="shared" si="4"/>
        <v>142608709.06</v>
      </c>
      <c r="H24" s="38">
        <f>'2022 Combined'!H24</f>
        <v>60</v>
      </c>
      <c r="I24" s="32"/>
      <c r="J24" s="30">
        <f t="shared" si="5"/>
        <v>348974.59</v>
      </c>
      <c r="K24" s="32"/>
      <c r="L24" s="16">
        <f t="shared" si="6"/>
        <v>348974.59</v>
      </c>
      <c r="M24" s="18">
        <f t="shared" ref="M24:M45" si="14">G24-L24</f>
        <v>142259734.47</v>
      </c>
      <c r="O24" s="42">
        <v>47</v>
      </c>
      <c r="P24" s="42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f t="shared" si="9"/>
        <v>142608709.06</v>
      </c>
      <c r="V24" s="18">
        <v>20938475.400000002</v>
      </c>
      <c r="W24" s="39">
        <f t="shared" si="11"/>
        <v>60</v>
      </c>
      <c r="X24" s="19">
        <f t="shared" si="12"/>
        <v>1.6666666666666666E-2</v>
      </c>
      <c r="Y24" s="18">
        <v>348974.59</v>
      </c>
      <c r="Z24" s="75"/>
    </row>
    <row r="25" spans="1:26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1727764.71</v>
      </c>
      <c r="F25" s="15">
        <v>0</v>
      </c>
      <c r="G25" s="16">
        <f t="shared" si="4"/>
        <v>1727764.71</v>
      </c>
      <c r="H25" s="38">
        <f>'2022 Combined'!H25</f>
        <v>45</v>
      </c>
      <c r="I25" s="32"/>
      <c r="J25" s="30">
        <f t="shared" si="5"/>
        <v>4123.38</v>
      </c>
      <c r="K25" s="32"/>
      <c r="L25" s="16">
        <f t="shared" si="6"/>
        <v>4123.38</v>
      </c>
      <c r="M25" s="18">
        <f t="shared" si="14"/>
        <v>1723641.33</v>
      </c>
      <c r="O25" s="42">
        <v>47</v>
      </c>
      <c r="P25" s="42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f t="shared" si="9"/>
        <v>1727764.71</v>
      </c>
      <c r="V25" s="18">
        <v>185552.1</v>
      </c>
      <c r="W25" s="39">
        <f t="shared" si="11"/>
        <v>45</v>
      </c>
      <c r="X25" s="19">
        <f t="shared" si="12"/>
        <v>2.2222222222222223E-2</v>
      </c>
      <c r="Y25" s="18">
        <v>4123.38</v>
      </c>
      <c r="Z25" s="75"/>
    </row>
    <row r="26" spans="1:26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170593249.97</v>
      </c>
      <c r="F26" s="15">
        <v>0</v>
      </c>
      <c r="G26" s="16">
        <f t="shared" si="4"/>
        <v>170593249.97</v>
      </c>
      <c r="H26" s="38">
        <f>'2022 Combined'!H26</f>
        <v>45</v>
      </c>
      <c r="I26" s="32"/>
      <c r="J26" s="30">
        <f t="shared" si="5"/>
        <v>562877.54</v>
      </c>
      <c r="K26" s="32"/>
      <c r="L26" s="16">
        <f t="shared" si="6"/>
        <v>562877.54</v>
      </c>
      <c r="M26" s="18">
        <f t="shared" si="14"/>
        <v>170030372.43000001</v>
      </c>
      <c r="O26" s="42">
        <v>47</v>
      </c>
      <c r="P26" s="42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f t="shared" si="9"/>
        <v>170593249.97</v>
      </c>
      <c r="V26" s="18">
        <v>25329489.300000001</v>
      </c>
      <c r="W26" s="39">
        <f t="shared" si="11"/>
        <v>45</v>
      </c>
      <c r="X26" s="19">
        <f t="shared" si="12"/>
        <v>2.2222222222222223E-2</v>
      </c>
      <c r="Y26" s="18">
        <v>562877.54</v>
      </c>
      <c r="Z26" s="75"/>
    </row>
    <row r="27" spans="1:26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6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6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42"/>
      <c r="P31" s="42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42">
        <v>10.1</v>
      </c>
      <c r="P32" s="42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42">
        <v>8</v>
      </c>
      <c r="P33" s="42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42"/>
      <c r="P34" s="42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42">
        <v>10.1</v>
      </c>
      <c r="P35" s="42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42"/>
      <c r="P36" s="42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42"/>
      <c r="P37" s="42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42"/>
      <c r="P38" s="42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42"/>
      <c r="P39" s="42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42"/>
      <c r="P40" s="42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42"/>
      <c r="P41" s="42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42"/>
      <c r="P42" s="42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42"/>
      <c r="P43" s="42">
        <v>1995</v>
      </c>
      <c r="Q43" s="14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3"/>
      <c r="P44" s="43">
        <v>2440</v>
      </c>
      <c r="Q44" s="40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42"/>
      <c r="P45" s="42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388876157.54000002</v>
      </c>
      <c r="F46" s="22">
        <f>SUM(F12:F15,F17:F29,F31:F45)</f>
        <v>0</v>
      </c>
      <c r="G46" s="22">
        <f>SUM(G12:G15,G17:G29,G31:G45)</f>
        <v>388876157.54000002</v>
      </c>
      <c r="H46" s="33"/>
      <c r="I46" s="22">
        <f>SUM(I12:I15,I17:I29,I31:I45)</f>
        <v>0</v>
      </c>
      <c r="J46" s="22">
        <f>SUM(J12:J15,J17:J29,J31:J45)</f>
        <v>1154099.3</v>
      </c>
      <c r="K46" s="22">
        <f>SUM(K12:K15,K17:K29,K31:K45)</f>
        <v>0</v>
      </c>
      <c r="L46" s="22">
        <f>SUM(L12:L15,L17:L29,L31:L45)</f>
        <v>1154099.3</v>
      </c>
      <c r="M46" s="22">
        <f>SUM(M12:M15,M17:M29,M31:M45)</f>
        <v>387722058.24000001</v>
      </c>
      <c r="N46" s="23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388876157.54000002</v>
      </c>
      <c r="V46" s="22">
        <f>SUM(V12:V15,V17:V29,V31:V45)</f>
        <v>57472542.800000004</v>
      </c>
      <c r="W46" s="24"/>
      <c r="X46" s="24"/>
      <c r="Y46" s="22">
        <f>SUM(Y12:Y15,Y17:Y29,Y31:Y44)</f>
        <v>1154099.3</v>
      </c>
    </row>
    <row r="47" spans="1:25" x14ac:dyDescent="0.2">
      <c r="A47" s="42"/>
      <c r="B47" s="44">
        <v>2055</v>
      </c>
      <c r="C47" s="20" t="s">
        <v>59</v>
      </c>
      <c r="D47" s="15"/>
      <c r="E47" s="15"/>
      <c r="F47" s="15"/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/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0</v>
      </c>
      <c r="E49" s="16">
        <f>SUM(E46:E48)</f>
        <v>388876157.54000002</v>
      </c>
      <c r="F49" s="16">
        <f>SUM(F46:F48)</f>
        <v>0</v>
      </c>
      <c r="G49" s="16">
        <f>SUM(G46:G48)</f>
        <v>388876157.54000002</v>
      </c>
      <c r="H49" s="33"/>
      <c r="I49" s="16">
        <f>SUM(I46:I48)</f>
        <v>0</v>
      </c>
      <c r="J49" s="16">
        <f>SUM(J46:J48)</f>
        <v>1154099.3</v>
      </c>
      <c r="K49" s="16">
        <f>SUM(K46:K48)</f>
        <v>0</v>
      </c>
      <c r="L49" s="16">
        <f>SUM(L46:L48)</f>
        <v>1154099.3</v>
      </c>
      <c r="M49" s="16">
        <f>SUM(M46:M48)</f>
        <v>387722058.24000001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1154099.3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1154099.3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scale="70" orientation="landscape" r:id="rId1"/>
  <headerFooter>
    <oddFooter>&amp;L&amp;"Times New Roman,Regular"&amp;8 53141182.2</oddFooter>
  </headerFooter>
  <colBreaks count="1" manualBreakCount="1">
    <brk id="13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D62E-D18D-4E1A-89EB-EEA39DF4F806}">
  <sheetPr>
    <pageSetUpPr fitToPage="1"/>
  </sheetPr>
  <dimension ref="A2:Y63"/>
  <sheetViews>
    <sheetView showGridLines="0" view="pageBreakPreview" zoomScale="115" zoomScaleNormal="100" zoomScaleSheetLayoutView="115" workbookViewId="0">
      <pane xSplit="3" ySplit="10" topLeftCell="D29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.7109375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3" t="s">
        <v>84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2023</v>
      </c>
      <c r="S5" s="48" t="s">
        <v>74</v>
      </c>
      <c r="T5" s="41">
        <f>F5</f>
        <v>2023</v>
      </c>
    </row>
    <row r="7" spans="1:25" ht="2.25" customHeight="1" x14ac:dyDescent="0.2">
      <c r="D7" s="85"/>
      <c r="E7" s="85"/>
      <c r="F7" s="85"/>
      <c r="G7" s="85"/>
      <c r="H7" s="85"/>
    </row>
    <row r="8" spans="1:25" ht="2.25" customHeight="1" x14ac:dyDescent="0.2"/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90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+'2022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+'2022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+'2022 Combined'!G14</f>
        <v>0</v>
      </c>
      <c r="E14" s="15">
        <v>0</v>
      </c>
      <c r="F14" s="15">
        <v>0</v>
      </c>
      <c r="G14" s="16">
        <f>SUM(D14:F14)</f>
        <v>0</v>
      </c>
      <c r="H14" s="15">
        <v>5</v>
      </c>
      <c r="I14" s="15">
        <f>+'2022 Combined'!L14</f>
        <v>0</v>
      </c>
      <c r="J14" s="30">
        <f t="shared" si="2"/>
        <v>0</v>
      </c>
      <c r="K14" s="15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v>0</v>
      </c>
      <c r="W14" s="39">
        <f t="shared" si="7"/>
        <v>5</v>
      </c>
      <c r="X14" s="19">
        <f t="shared" si="8"/>
        <v>0.2</v>
      </c>
      <c r="Y14" s="18">
        <v>0</v>
      </c>
    </row>
    <row r="15" spans="1:25" x14ac:dyDescent="0.2">
      <c r="A15" s="42"/>
      <c r="B15" s="42">
        <v>1612</v>
      </c>
      <c r="C15" s="14" t="s">
        <v>28</v>
      </c>
      <c r="D15" s="15">
        <f>+'2022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f>+'2022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'2023 LTPL'!V17+'2023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'2023 LTPL'!Y17+'2023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Combined'!G18</f>
        <v>0</v>
      </c>
      <c r="E18" s="15">
        <v>0</v>
      </c>
      <c r="F18" s="15">
        <v>0</v>
      </c>
      <c r="G18" s="16">
        <f t="shared" si="9"/>
        <v>0</v>
      </c>
      <c r="H18" s="15">
        <v>0</v>
      </c>
      <c r="I18" s="15">
        <f>+'2022 Combined'!L18</f>
        <v>0</v>
      </c>
      <c r="J18" s="30">
        <f t="shared" si="10"/>
        <v>0</v>
      </c>
      <c r="K18" s="15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'2023 LTPL'!V18+'2023 RCL'!V18</f>
        <v>0</v>
      </c>
      <c r="W18" s="39">
        <f t="shared" si="13"/>
        <v>0</v>
      </c>
      <c r="X18" s="19" t="str">
        <f t="shared" si="14"/>
        <v>-</v>
      </c>
      <c r="Y18" s="18">
        <f>'2023 LTPL'!Y18+'2023 RCL'!Y18</f>
        <v>0</v>
      </c>
    </row>
    <row r="19" spans="1:25" x14ac:dyDescent="0.2">
      <c r="A19" s="42"/>
      <c r="B19" s="42">
        <v>1708</v>
      </c>
      <c r="C19" s="14" t="s">
        <v>31</v>
      </c>
      <c r="D19" s="15">
        <f>+'2022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+'2022 Combined'!L19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'2023 LTPL'!V19+'2023 RCL'!V19</f>
        <v>0</v>
      </c>
      <c r="W19" s="39">
        <f t="shared" si="13"/>
        <v>0</v>
      </c>
      <c r="X19" s="19" t="str">
        <f t="shared" si="14"/>
        <v>-</v>
      </c>
      <c r="Y19" s="18">
        <f>'2023 LTPL'!Y19+'2023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f>+'2022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+'2022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'2023 LTPL'!V20+'2023 RCL'!V20</f>
        <v>0</v>
      </c>
      <c r="W20" s="39">
        <f t="shared" si="13"/>
        <v>0</v>
      </c>
      <c r="X20" s="19" t="str">
        <f t="shared" si="14"/>
        <v>-</v>
      </c>
      <c r="Y20" s="18">
        <f>'2023 LTPL'!Y20+'2023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Combined'!G21</f>
        <v>100306883.5</v>
      </c>
      <c r="E21" s="15">
        <v>131283529.97000015</v>
      </c>
      <c r="F21" s="15">
        <v>0</v>
      </c>
      <c r="G21" s="16">
        <f t="shared" si="9"/>
        <v>231590413.47000015</v>
      </c>
      <c r="H21" s="15">
        <v>50</v>
      </c>
      <c r="I21" s="15">
        <f>+'2022 Combined'!L21</f>
        <v>429998.58999999997</v>
      </c>
      <c r="J21" s="30">
        <f t="shared" si="10"/>
        <v>2845265.9999999991</v>
      </c>
      <c r="K21" s="15"/>
      <c r="L21" s="16">
        <f t="shared" si="11"/>
        <v>3275264.5899999989</v>
      </c>
      <c r="M21" s="18">
        <f t="shared" si="12"/>
        <v>228315148.88000014</v>
      </c>
      <c r="O21" s="42">
        <v>47</v>
      </c>
      <c r="P21" s="42">
        <v>1715</v>
      </c>
      <c r="Q21" s="14" t="s">
        <v>14</v>
      </c>
      <c r="R21" s="18">
        <f t="shared" si="3"/>
        <v>100306883.5</v>
      </c>
      <c r="S21" s="32">
        <v>0</v>
      </c>
      <c r="T21" s="18">
        <f t="shared" si="4"/>
        <v>100306883.5</v>
      </c>
      <c r="U21" s="18">
        <f t="shared" si="5"/>
        <v>131283529.97000015</v>
      </c>
      <c r="V21" s="18">
        <f>'2023 LTPL'!V21+'2023 RCL'!V21</f>
        <v>142263299.99999997</v>
      </c>
      <c r="W21" s="39">
        <f t="shared" si="13"/>
        <v>50</v>
      </c>
      <c r="X21" s="19">
        <f t="shared" si="14"/>
        <v>0.02</v>
      </c>
      <c r="Y21" s="18">
        <f>'2023 LTPL'!Y21+'2023 RCL'!Y21</f>
        <v>2845265.9999999991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Combined'!G22</f>
        <v>12772222.34</v>
      </c>
      <c r="E22" s="15">
        <v>11591995.43</v>
      </c>
      <c r="F22" s="15">
        <v>0</v>
      </c>
      <c r="G22" s="16">
        <f t="shared" si="9"/>
        <v>24364217.77</v>
      </c>
      <c r="H22" s="15">
        <v>40</v>
      </c>
      <c r="I22" s="15">
        <f>+'2022 Combined'!L22</f>
        <v>77637.649999999994</v>
      </c>
      <c r="J22" s="30">
        <f t="shared" si="10"/>
        <v>415893.76000000001</v>
      </c>
      <c r="K22" s="15"/>
      <c r="L22" s="16">
        <f t="shared" si="11"/>
        <v>493531.41000000003</v>
      </c>
      <c r="M22" s="18">
        <f t="shared" si="12"/>
        <v>23870686.359999999</v>
      </c>
      <c r="O22" s="42">
        <v>47</v>
      </c>
      <c r="P22" s="42" t="s">
        <v>10</v>
      </c>
      <c r="Q22" s="14" t="s">
        <v>21</v>
      </c>
      <c r="R22" s="18">
        <f t="shared" si="3"/>
        <v>12772222.34</v>
      </c>
      <c r="S22" s="32">
        <v>0</v>
      </c>
      <c r="T22" s="18">
        <f t="shared" si="4"/>
        <v>12772222.34</v>
      </c>
      <c r="U22" s="18">
        <f t="shared" si="5"/>
        <v>11591995.43</v>
      </c>
      <c r="V22" s="18">
        <f>'2023 LTPL'!V22+'2023 RCL'!V22</f>
        <v>16635750.4</v>
      </c>
      <c r="W22" s="39">
        <f t="shared" si="13"/>
        <v>40</v>
      </c>
      <c r="X22" s="19">
        <f t="shared" si="14"/>
        <v>2.5000000000000001E-2</v>
      </c>
      <c r="Y22" s="18">
        <f>'2023 LTPL'!Y22+'2023 RCL'!Y22</f>
        <v>415893.76000000001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Combined'!G23</f>
        <v>4360014.8499999996</v>
      </c>
      <c r="E23" s="15">
        <v>5342564.46</v>
      </c>
      <c r="F23" s="15">
        <v>0</v>
      </c>
      <c r="G23" s="16">
        <f t="shared" si="9"/>
        <v>9702579.3099999987</v>
      </c>
      <c r="H23" s="15">
        <v>20</v>
      </c>
      <c r="I23" s="15">
        <f>+'2022 Combined'!L23</f>
        <v>45557.64</v>
      </c>
      <c r="J23" s="30">
        <f t="shared" si="10"/>
        <v>299348.20999999996</v>
      </c>
      <c r="K23" s="15"/>
      <c r="L23" s="16">
        <f t="shared" si="11"/>
        <v>344905.85</v>
      </c>
      <c r="M23" s="18">
        <f>G23-L23</f>
        <v>9357673.459999999</v>
      </c>
      <c r="O23" s="42">
        <v>47</v>
      </c>
      <c r="P23" s="42" t="s">
        <v>11</v>
      </c>
      <c r="Q23" s="14" t="s">
        <v>22</v>
      </c>
      <c r="R23" s="18">
        <f t="shared" si="3"/>
        <v>4360014.8499999996</v>
      </c>
      <c r="S23" s="32">
        <v>0</v>
      </c>
      <c r="T23" s="18">
        <f t="shared" si="4"/>
        <v>4360014.8499999996</v>
      </c>
      <c r="U23" s="18">
        <f t="shared" si="5"/>
        <v>5342564.46</v>
      </c>
      <c r="V23" s="18">
        <f>'2023 LTPL'!V23+'2023 RCL'!V23</f>
        <v>5986964.1999999993</v>
      </c>
      <c r="W23" s="39">
        <f t="shared" si="13"/>
        <v>20</v>
      </c>
      <c r="X23" s="19">
        <f t="shared" si="14"/>
        <v>0.05</v>
      </c>
      <c r="Y23" s="18">
        <f>'2023 LTPL'!Y23+'2023 RCL'!Y23</f>
        <v>299348.20999999996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Combined'!G24</f>
        <v>255216233.93000001</v>
      </c>
      <c r="E24" s="15">
        <v>149909431.72</v>
      </c>
      <c r="F24" s="15">
        <v>0</v>
      </c>
      <c r="G24" s="16">
        <f t="shared" si="9"/>
        <v>405125665.64999998</v>
      </c>
      <c r="H24" s="15">
        <v>60</v>
      </c>
      <c r="I24" s="15">
        <f>+'2022 Combined'!L24</f>
        <v>974571.96</v>
      </c>
      <c r="J24" s="30">
        <f t="shared" si="10"/>
        <v>4933628.5900000008</v>
      </c>
      <c r="K24" s="15"/>
      <c r="L24" s="16">
        <f t="shared" si="11"/>
        <v>5908200.5500000007</v>
      </c>
      <c r="M24" s="18">
        <f t="shared" ref="M24:M46" si="15">G24-L24</f>
        <v>399217465.09999996</v>
      </c>
      <c r="O24" s="42">
        <v>47</v>
      </c>
      <c r="P24" s="42">
        <v>1720</v>
      </c>
      <c r="Q24" s="14" t="s">
        <v>16</v>
      </c>
      <c r="R24" s="18">
        <f t="shared" si="3"/>
        <v>255216233.93000001</v>
      </c>
      <c r="S24" s="32">
        <v>0</v>
      </c>
      <c r="T24" s="18">
        <f t="shared" si="4"/>
        <v>255216233.93000001</v>
      </c>
      <c r="U24" s="18">
        <f t="shared" si="5"/>
        <v>149909431.72</v>
      </c>
      <c r="V24" s="18">
        <f>'2023 LTPL'!V24+'2023 RCL'!V24</f>
        <v>296017715.4000001</v>
      </c>
      <c r="W24" s="39">
        <f t="shared" si="13"/>
        <v>60</v>
      </c>
      <c r="X24" s="19">
        <f t="shared" si="14"/>
        <v>1.6666666666666666E-2</v>
      </c>
      <c r="Y24" s="18">
        <f>'2023 LTPL'!Y24+'2023 RCL'!Y24</f>
        <v>4933628.5900000008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Combined'!G25</f>
        <v>1727764.71</v>
      </c>
      <c r="E25" s="15">
        <v>32218428.289999992</v>
      </c>
      <c r="F25" s="15">
        <v>0</v>
      </c>
      <c r="G25" s="16">
        <f t="shared" si="9"/>
        <v>33946192.999999993</v>
      </c>
      <c r="H25" s="15">
        <v>45</v>
      </c>
      <c r="I25" s="15">
        <f>+'2022 Combined'!L25</f>
        <v>4123.38</v>
      </c>
      <c r="J25" s="30">
        <f t="shared" si="10"/>
        <v>356381.8</v>
      </c>
      <c r="K25" s="15"/>
      <c r="L25" s="16">
        <f t="shared" si="11"/>
        <v>360505.18</v>
      </c>
      <c r="M25" s="18">
        <f t="shared" si="15"/>
        <v>33585687.819999993</v>
      </c>
      <c r="O25" s="42">
        <v>47</v>
      </c>
      <c r="P25" s="42">
        <v>1725</v>
      </c>
      <c r="Q25" s="14" t="s">
        <v>17</v>
      </c>
      <c r="R25" s="18">
        <f t="shared" si="3"/>
        <v>1727764.71</v>
      </c>
      <c r="S25" s="32">
        <v>0</v>
      </c>
      <c r="T25" s="18">
        <f t="shared" si="4"/>
        <v>1727764.71</v>
      </c>
      <c r="U25" s="18">
        <f t="shared" si="5"/>
        <v>32218428.289999992</v>
      </c>
      <c r="V25" s="18">
        <f>'2023 LTPL'!V25+'2023 RCL'!V25</f>
        <v>16037180.999999998</v>
      </c>
      <c r="W25" s="39">
        <f t="shared" si="13"/>
        <v>45</v>
      </c>
      <c r="X25" s="19">
        <f t="shared" si="14"/>
        <v>2.2222222222222223E-2</v>
      </c>
      <c r="Y25" s="18">
        <f>'2023 LTPL'!Y25+'2023 RCL'!Y25</f>
        <v>356381.8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Combined'!G26</f>
        <v>304804364.36000001</v>
      </c>
      <c r="E26" s="15">
        <v>167600173.18000007</v>
      </c>
      <c r="F26" s="15">
        <v>0</v>
      </c>
      <c r="G26" s="16">
        <f t="shared" si="9"/>
        <v>472404537.54000008</v>
      </c>
      <c r="H26" s="15">
        <v>45</v>
      </c>
      <c r="I26" s="15">
        <f>+'2022 Combined'!L26</f>
        <v>1557033.94</v>
      </c>
      <c r="J26" s="30">
        <f t="shared" si="10"/>
        <v>7884359.8999999994</v>
      </c>
      <c r="K26" s="15"/>
      <c r="L26" s="16">
        <f t="shared" si="11"/>
        <v>9441393.8399999999</v>
      </c>
      <c r="M26" s="18">
        <f t="shared" si="15"/>
        <v>462963143.70000011</v>
      </c>
      <c r="O26" s="42">
        <v>47</v>
      </c>
      <c r="P26" s="42">
        <v>1730</v>
      </c>
      <c r="Q26" s="14" t="s">
        <v>18</v>
      </c>
      <c r="R26" s="18">
        <f t="shared" si="3"/>
        <v>304804364.36000001</v>
      </c>
      <c r="S26" s="32">
        <v>0</v>
      </c>
      <c r="T26" s="18">
        <f t="shared" si="4"/>
        <v>304804364.36000001</v>
      </c>
      <c r="U26" s="18">
        <f t="shared" si="5"/>
        <v>167600173.18000007</v>
      </c>
      <c r="V26" s="18">
        <f>'2023 LTPL'!V26+'2023 RCL'!V26</f>
        <v>354796195.5</v>
      </c>
      <c r="W26" s="39">
        <f t="shared" si="13"/>
        <v>45</v>
      </c>
      <c r="X26" s="19">
        <f t="shared" si="14"/>
        <v>2.2222222222222223E-2</v>
      </c>
      <c r="Y26" s="18">
        <f>'2023 LTPL'!Y26+'2023 RCL'!Y26</f>
        <v>7884359.8999999994</v>
      </c>
    </row>
    <row r="27" spans="1:25" x14ac:dyDescent="0.2">
      <c r="A27" s="42"/>
      <c r="B27" s="42">
        <v>1735</v>
      </c>
      <c r="C27" s="14" t="s">
        <v>19</v>
      </c>
      <c r="D27" s="15">
        <f>+'2022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'2023 LTPL'!V27+'2023 RCL'!V27</f>
        <v>0</v>
      </c>
      <c r="W27" s="39">
        <f t="shared" si="13"/>
        <v>0</v>
      </c>
      <c r="X27" s="19" t="str">
        <f t="shared" si="14"/>
        <v>-</v>
      </c>
      <c r="Y27" s="18">
        <f>'2023 LTPL'!Y27+'2023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f>+'2022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'2023 LTPL'!V28+'2023 RCL'!V28</f>
        <v>0</v>
      </c>
      <c r="W28" s="39">
        <f t="shared" si="13"/>
        <v>0</v>
      </c>
      <c r="X28" s="19" t="str">
        <f t="shared" si="14"/>
        <v>-</v>
      </c>
      <c r="Y28" s="18">
        <f>'2023 LTPL'!Y28+'2023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f>+'2022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'2023 LTPL'!V29+'2023 RCL'!V29</f>
        <v>0</v>
      </c>
      <c r="W29" s="39">
        <f t="shared" si="13"/>
        <v>0</v>
      </c>
      <c r="X29" s="19" t="str">
        <f t="shared" si="14"/>
        <v>-</v>
      </c>
      <c r="Y29" s="18">
        <f>'2023 LTPL'!Y29+'2023 RCL'!Y29</f>
        <v>0</v>
      </c>
    </row>
    <row r="30" spans="1:25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90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f>+'2022 Combined'!G31</f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+'2022 Combined'!L31</f>
        <v>0</v>
      </c>
      <c r="J31" s="30">
        <f t="shared" ref="J31:J46" si="17">Y31</f>
        <v>0</v>
      </c>
      <c r="K31" s="15"/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f>+'2022 Combined'!G32</f>
        <v>0</v>
      </c>
      <c r="E32" s="15">
        <v>0</v>
      </c>
      <c r="F32" s="15">
        <v>0</v>
      </c>
      <c r="G32" s="16">
        <f t="shared" si="16"/>
        <v>0</v>
      </c>
      <c r="H32" s="15">
        <v>50</v>
      </c>
      <c r="I32" s="15">
        <f>+'2022 Combined'!L32</f>
        <v>0</v>
      </c>
      <c r="J32" s="30">
        <f t="shared" si="17"/>
        <v>0</v>
      </c>
      <c r="K32" s="15"/>
      <c r="L32" s="16">
        <f t="shared" si="18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v>0</v>
      </c>
      <c r="W32" s="39">
        <f t="shared" si="19"/>
        <v>50</v>
      </c>
      <c r="X32" s="19">
        <f t="shared" si="20"/>
        <v>0.02</v>
      </c>
      <c r="Y32" s="18">
        <v>0</v>
      </c>
    </row>
    <row r="33" spans="1:25" x14ac:dyDescent="0.2">
      <c r="A33" s="42"/>
      <c r="B33" s="42">
        <v>1910</v>
      </c>
      <c r="C33" s="14" t="s">
        <v>26</v>
      </c>
      <c r="D33" s="15"/>
      <c r="E33" s="15"/>
      <c r="F33" s="15"/>
      <c r="G33" s="16"/>
      <c r="H33" s="15"/>
      <c r="I33" s="15"/>
      <c r="J33" s="30"/>
      <c r="K33" s="15"/>
      <c r="L33" s="16"/>
      <c r="M33" s="18"/>
      <c r="O33" s="42"/>
      <c r="P33" s="42"/>
      <c r="Q33" s="14"/>
      <c r="R33" s="18"/>
      <c r="S33" s="32"/>
      <c r="T33" s="18"/>
      <c r="U33" s="18"/>
      <c r="V33" s="18"/>
      <c r="W33" s="39"/>
      <c r="X33" s="19"/>
      <c r="Y33" s="18"/>
    </row>
    <row r="34" spans="1:25" x14ac:dyDescent="0.2">
      <c r="A34" s="42">
        <v>8</v>
      </c>
      <c r="B34" s="42">
        <v>1915</v>
      </c>
      <c r="C34" s="14" t="s">
        <v>32</v>
      </c>
      <c r="D34" s="15">
        <f>+'2022 Combined'!G34</f>
        <v>0</v>
      </c>
      <c r="E34" s="15">
        <v>0</v>
      </c>
      <c r="F34" s="15">
        <v>0</v>
      </c>
      <c r="G34" s="16">
        <f t="shared" si="16"/>
        <v>0</v>
      </c>
      <c r="H34" s="15">
        <v>10</v>
      </c>
      <c r="I34" s="15">
        <f>+'2022 Combined'!L34</f>
        <v>0</v>
      </c>
      <c r="J34" s="30">
        <f t="shared" si="17"/>
        <v>0</v>
      </c>
      <c r="K34" s="15"/>
      <c r="L34" s="16">
        <f t="shared" si="18"/>
        <v>0</v>
      </c>
      <c r="M34" s="18">
        <f t="shared" si="15"/>
        <v>0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v>0</v>
      </c>
      <c r="W34" s="39">
        <f t="shared" si="19"/>
        <v>10</v>
      </c>
      <c r="X34" s="19">
        <f t="shared" si="20"/>
        <v>0.1</v>
      </c>
      <c r="Y34" s="18">
        <v>0</v>
      </c>
    </row>
    <row r="35" spans="1:25" x14ac:dyDescent="0.2">
      <c r="A35" s="42"/>
      <c r="B35" s="42">
        <v>1920</v>
      </c>
      <c r="C35" s="14" t="s">
        <v>33</v>
      </c>
      <c r="D35" s="15">
        <f>+'2022 Combined'!G35</f>
        <v>0</v>
      </c>
      <c r="E35" s="15">
        <v>0</v>
      </c>
      <c r="F35" s="15">
        <v>0</v>
      </c>
      <c r="G35" s="16">
        <f t="shared" si="16"/>
        <v>0</v>
      </c>
      <c r="H35" s="15">
        <v>0</v>
      </c>
      <c r="I35" s="15">
        <f>+'2022 Combined'!L35</f>
        <v>0</v>
      </c>
      <c r="J35" s="30">
        <f t="shared" si="17"/>
        <v>0</v>
      </c>
      <c r="K35" s="15"/>
      <c r="L35" s="16">
        <f t="shared" si="18"/>
        <v>0</v>
      </c>
      <c r="M35" s="18">
        <f t="shared" si="15"/>
        <v>0</v>
      </c>
      <c r="O35" s="42"/>
      <c r="P35" s="42">
        <v>1920</v>
      </c>
      <c r="Q35" s="14" t="s">
        <v>33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0</v>
      </c>
      <c r="V35" s="18">
        <f t="shared" ref="V35:V46" si="21">T35+U35*8/12</f>
        <v>0</v>
      </c>
      <c r="W35" s="39">
        <f t="shared" si="19"/>
        <v>0</v>
      </c>
      <c r="X35" s="19" t="str">
        <f t="shared" si="20"/>
        <v>-</v>
      </c>
      <c r="Y35" s="18">
        <f t="shared" ref="Y35:Y46" si="22">IF(V35=0,0,V35*X35)</f>
        <v>0</v>
      </c>
    </row>
    <row r="36" spans="1:25" x14ac:dyDescent="0.2">
      <c r="A36" s="42">
        <v>10.1</v>
      </c>
      <c r="B36" s="42">
        <v>1930</v>
      </c>
      <c r="C36" s="14" t="s">
        <v>34</v>
      </c>
      <c r="D36" s="15">
        <f>+'2022 Combined'!G36</f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+'2022 Combined'!L36</f>
        <v>15539.173000000003</v>
      </c>
      <c r="J36" s="30">
        <f>Y36</f>
        <v>31078.254000000004</v>
      </c>
      <c r="K36" s="15"/>
      <c r="L36" s="16">
        <f t="shared" si="18"/>
        <v>46617.427000000011</v>
      </c>
      <c r="M36" s="18">
        <f t="shared" si="15"/>
        <v>108774.303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50">
        <f>+Y36/X36</f>
        <v>155391.27000000002</v>
      </c>
      <c r="W36" s="39">
        <f t="shared" si="19"/>
        <v>5</v>
      </c>
      <c r="X36" s="19">
        <f t="shared" si="20"/>
        <v>0.2</v>
      </c>
      <c r="Y36" s="18">
        <v>31078.254000000004</v>
      </c>
    </row>
    <row r="37" spans="1:25" x14ac:dyDescent="0.2">
      <c r="A37" s="42"/>
      <c r="B37" s="42">
        <v>1935</v>
      </c>
      <c r="C37" s="14" t="s">
        <v>35</v>
      </c>
      <c r="D37" s="15">
        <f>+'2022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42"/>
      <c r="B38" s="42">
        <v>1940</v>
      </c>
      <c r="C38" s="14" t="s">
        <v>39</v>
      </c>
      <c r="D38" s="15">
        <f>+'2022 Combined'!G38</f>
        <v>0</v>
      </c>
      <c r="E38" s="15">
        <v>0</v>
      </c>
      <c r="F38" s="15">
        <v>0</v>
      </c>
      <c r="G38" s="16">
        <f t="shared" si="16"/>
        <v>0</v>
      </c>
      <c r="H38" s="15">
        <v>0</v>
      </c>
      <c r="I38" s="15">
        <f>+'2022 Combined'!L38</f>
        <v>0</v>
      </c>
      <c r="J38" s="30">
        <f t="shared" si="17"/>
        <v>0</v>
      </c>
      <c r="K38" s="15"/>
      <c r="L38" s="16">
        <f t="shared" si="18"/>
        <v>0</v>
      </c>
      <c r="M38" s="18">
        <f t="shared" si="15"/>
        <v>0</v>
      </c>
      <c r="O38" s="42"/>
      <c r="P38" s="42">
        <v>1940</v>
      </c>
      <c r="Q38" s="14" t="s">
        <v>39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42"/>
      <c r="B39" s="42">
        <v>1945</v>
      </c>
      <c r="C39" s="14" t="s">
        <v>40</v>
      </c>
      <c r="D39" s="15">
        <f>+'2022 Combined'!G39</f>
        <v>0</v>
      </c>
      <c r="E39" s="15">
        <v>0</v>
      </c>
      <c r="F39" s="15">
        <v>0</v>
      </c>
      <c r="G39" s="16">
        <f t="shared" si="16"/>
        <v>0</v>
      </c>
      <c r="H39" s="15">
        <v>0</v>
      </c>
      <c r="I39" s="15"/>
      <c r="J39" s="30">
        <f t="shared" si="17"/>
        <v>0</v>
      </c>
      <c r="K39" s="15"/>
      <c r="L39" s="16">
        <f t="shared" si="18"/>
        <v>0</v>
      </c>
      <c r="M39" s="18">
        <f t="shared" si="15"/>
        <v>0</v>
      </c>
      <c r="O39" s="42"/>
      <c r="P39" s="42">
        <v>1945</v>
      </c>
      <c r="Q39" s="14" t="s">
        <v>40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42"/>
      <c r="B40" s="42">
        <v>1950</v>
      </c>
      <c r="C40" s="14" t="s">
        <v>41</v>
      </c>
      <c r="D40" s="15">
        <f>+'2022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42"/>
      <c r="B41" s="42">
        <v>1955</v>
      </c>
      <c r="C41" s="14" t="s">
        <v>42</v>
      </c>
      <c r="D41" s="15">
        <f>+'2022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42"/>
      <c r="B42" s="42">
        <v>1960</v>
      </c>
      <c r="C42" s="14" t="s">
        <v>43</v>
      </c>
      <c r="D42" s="15">
        <f>+'2022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42"/>
      <c r="B43" s="42">
        <v>1980</v>
      </c>
      <c r="C43" s="14" t="s">
        <v>44</v>
      </c>
      <c r="D43" s="15">
        <f>+'2022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2"/>
      <c r="B44" s="42">
        <v>1995</v>
      </c>
      <c r="C44" s="14" t="s">
        <v>12</v>
      </c>
      <c r="D44" s="15">
        <f>+'2022 Combined'!G44</f>
        <v>0</v>
      </c>
      <c r="E44" s="15">
        <v>0</v>
      </c>
      <c r="F44" s="15">
        <v>0</v>
      </c>
      <c r="G44" s="16">
        <f t="shared" si="16"/>
        <v>0</v>
      </c>
      <c r="H44" s="15">
        <v>0</v>
      </c>
      <c r="I44" s="15"/>
      <c r="J44" s="30">
        <f t="shared" si="17"/>
        <v>0</v>
      </c>
      <c r="K44" s="15"/>
      <c r="L44" s="16">
        <f t="shared" si="18"/>
        <v>0</v>
      </c>
      <c r="M44" s="18">
        <f t="shared" si="15"/>
        <v>0</v>
      </c>
      <c r="O44" s="42"/>
      <c r="P44" s="42">
        <v>1995</v>
      </c>
      <c r="Q44" s="14" t="s">
        <v>12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43"/>
      <c r="B45" s="43">
        <v>2440</v>
      </c>
      <c r="C45" s="40" t="s">
        <v>57</v>
      </c>
      <c r="D45" s="15">
        <f>+'2022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 t="shared" si="19"/>
        <v>0</v>
      </c>
      <c r="X45" s="19" t="str">
        <f t="shared" si="20"/>
        <v>-</v>
      </c>
      <c r="Y45" s="18">
        <f t="shared" si="22"/>
        <v>0</v>
      </c>
    </row>
    <row r="46" spans="1:25" x14ac:dyDescent="0.2">
      <c r="A46" s="42"/>
      <c r="B46" s="42"/>
      <c r="C46" s="14"/>
      <c r="D46" s="15">
        <f>+'2022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/>
      <c r="J46" s="30">
        <f t="shared" si="17"/>
        <v>0</v>
      </c>
      <c r="K46" s="15"/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21"/>
        <v>0</v>
      </c>
      <c r="W46" s="39">
        <f>H46</f>
        <v>0</v>
      </c>
      <c r="X46" s="19" t="str">
        <f t="shared" si="20"/>
        <v>-</v>
      </c>
      <c r="Y46" s="18">
        <f t="shared" si="22"/>
        <v>0</v>
      </c>
    </row>
    <row r="47" spans="1:25" s="4" customFormat="1" x14ac:dyDescent="0.2">
      <c r="A47" s="44"/>
      <c r="B47" s="44"/>
      <c r="C47" s="20" t="s">
        <v>58</v>
      </c>
      <c r="D47" s="22">
        <f>SUM(D12:D15,D17:D29,D31:D46)</f>
        <v>679342875.42000008</v>
      </c>
      <c r="E47" s="22">
        <f>SUM(E12:E15,E17:E29,E31:E46)</f>
        <v>497946123.05000019</v>
      </c>
      <c r="F47" s="22">
        <f>SUM(F12:F15,F17:F29,F31:F46)</f>
        <v>0</v>
      </c>
      <c r="G47" s="22">
        <f>SUM(G12:G15,G17:G29,G31:G46)</f>
        <v>1177288998.4700003</v>
      </c>
      <c r="H47" s="33"/>
      <c r="I47" s="22">
        <f>SUM(I12:I15,I17:I29,I31:I46)</f>
        <v>3104462.3329999996</v>
      </c>
      <c r="J47" s="22">
        <f>SUM(J12:J15,J17:J29,J31:J46)</f>
        <v>16765956.513999999</v>
      </c>
      <c r="K47" s="22">
        <f>SUM(K12:K15,K17:K29,K31:K46)</f>
        <v>0</v>
      </c>
      <c r="L47" s="22">
        <f>SUM(L12:L15,L17:L29,L31:L46)</f>
        <v>19870418.847000003</v>
      </c>
      <c r="M47" s="22">
        <f>SUM(M12:M15,M17:M29,M31:M46)</f>
        <v>1157418579.6230001</v>
      </c>
      <c r="N47" s="46"/>
      <c r="O47" s="44"/>
      <c r="P47" s="44"/>
      <c r="Q47" s="20" t="s">
        <v>77</v>
      </c>
      <c r="R47" s="22">
        <f>SUM(R12:R15,R17:R29,R31:R46)</f>
        <v>679342875.42000008</v>
      </c>
      <c r="S47" s="22">
        <f>SUM(S12:S15,S17:S29,S31:S46)</f>
        <v>0</v>
      </c>
      <c r="T47" s="22">
        <f>SUM(T12:T15,T17:T29,T31:T46)</f>
        <v>679342875.42000008</v>
      </c>
      <c r="U47" s="22">
        <f>SUM(U12:U15,U17:U29,U31:U46)</f>
        <v>497946123.05000019</v>
      </c>
      <c r="V47" s="22">
        <f>SUM(V12:V15,V17:V29,V31:V46)</f>
        <v>831892497.76999998</v>
      </c>
      <c r="W47" s="24"/>
      <c r="X47" s="24"/>
      <c r="Y47" s="22">
        <f>SUM(Y12:Y15,Y17:Y29,Y31:Y45)</f>
        <v>16765956.513999999</v>
      </c>
    </row>
    <row r="48" spans="1:25" x14ac:dyDescent="0.2">
      <c r="A48" s="42"/>
      <c r="B48" s="44">
        <v>2055</v>
      </c>
      <c r="C48" s="20" t="s">
        <v>59</v>
      </c>
      <c r="D48" s="15">
        <v>652326942</v>
      </c>
      <c r="E48" s="15">
        <f>571170661-D48-F48</f>
        <v>416789842.05000019</v>
      </c>
      <c r="F48" s="15">
        <v>-497946123.05000019</v>
      </c>
      <c r="G48" s="16">
        <f t="shared" ref="G48:G49" si="23">SUM(D48:F48)</f>
        <v>571170661</v>
      </c>
      <c r="H48" s="33"/>
      <c r="I48" s="15"/>
      <c r="J48" s="15"/>
      <c r="K48" s="15"/>
      <c r="L48" s="16">
        <f t="shared" ref="L48:L49" si="24">SUM(I48:K48)</f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23"/>
        <v>0</v>
      </c>
      <c r="H49" s="33"/>
      <c r="I49" s="15"/>
      <c r="J49" s="15"/>
      <c r="K49" s="15"/>
      <c r="L49" s="16">
        <f t="shared" si="24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1331669817.4200001</v>
      </c>
      <c r="E50" s="16">
        <f>SUM(E47:E49)</f>
        <v>914735965.10000038</v>
      </c>
      <c r="F50" s="16">
        <f>SUM(F47:F49)</f>
        <v>-497946123.05000019</v>
      </c>
      <c r="G50" s="16">
        <f>SUM(G47:G49)</f>
        <v>1748459659.4700003</v>
      </c>
      <c r="H50" s="33"/>
      <c r="I50" s="16">
        <f>SUM(I47:I49)</f>
        <v>3104462.3329999996</v>
      </c>
      <c r="J50" s="16">
        <f>SUM(J47:J49)</f>
        <v>16765956.513999999</v>
      </c>
      <c r="K50" s="16">
        <f>SUM(K47:K49)</f>
        <v>0</v>
      </c>
      <c r="L50" s="16">
        <f>SUM(L47:L49)</f>
        <v>19870418.847000003</v>
      </c>
      <c r="M50" s="16">
        <f>SUM(M47:M49)</f>
        <v>1157418579.6230001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8" t="s">
        <v>62</v>
      </c>
      <c r="D51" s="88"/>
      <c r="E51" s="88"/>
      <c r="F51" s="88"/>
      <c r="G51" s="88"/>
      <c r="H51" s="88"/>
      <c r="I51" s="88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9" t="s">
        <v>63</v>
      </c>
      <c r="D52" s="89"/>
      <c r="E52" s="89"/>
      <c r="F52" s="89"/>
      <c r="G52" s="89"/>
      <c r="H52" s="89"/>
      <c r="I52" s="89"/>
      <c r="J52" s="16">
        <f>J50+J51</f>
        <v>16765956.513999999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4.3499999999999996" customHeight="1" x14ac:dyDescent="0.2"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16765956.513999999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A2:M2"/>
    <mergeCell ref="D4:E4"/>
    <mergeCell ref="D7:H7"/>
    <mergeCell ref="D9:G9"/>
    <mergeCell ref="I9:L9"/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>&amp;L&amp;"Times New Roman,Regular"&amp;8 53141182.2</oddFooter>
  </headerFooter>
  <colBreaks count="1" manualBreakCount="1">
    <brk id="8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7C53-D0AF-4E09-A9C4-ABCD3913BC4E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D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3" t="s">
        <v>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2023</v>
      </c>
      <c r="T5" s="48" t="s">
        <v>74</v>
      </c>
      <c r="U5" s="41">
        <f>F5</f>
        <v>2023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36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+'2022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+'2022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+'2022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f>+'2022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+'2022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f>+'2022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+'2022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LTPL'!G21</f>
        <v>35850037.909999996</v>
      </c>
      <c r="E21" s="15">
        <v>331093.08000000566</v>
      </c>
      <c r="F21" s="15">
        <v>0</v>
      </c>
      <c r="G21" s="16">
        <f t="shared" si="9"/>
        <v>36181130.990000002</v>
      </c>
      <c r="H21" s="38">
        <f>'2023 Combined'!H21</f>
        <v>50</v>
      </c>
      <c r="I21" s="32">
        <f>+'2022 LTPL'!L21</f>
        <v>239000.25</v>
      </c>
      <c r="J21" s="30">
        <f t="shared" si="10"/>
        <v>723667.0399999998</v>
      </c>
      <c r="K21" s="32"/>
      <c r="L21" s="16">
        <f t="shared" si="11"/>
        <v>962667.2899999998</v>
      </c>
      <c r="M21" s="18">
        <f t="shared" si="12"/>
        <v>35218463.700000003</v>
      </c>
      <c r="O21" s="42">
        <v>47</v>
      </c>
      <c r="P21" s="42">
        <v>1715</v>
      </c>
      <c r="Q21" s="14" t="s">
        <v>14</v>
      </c>
      <c r="R21" s="18">
        <f t="shared" si="2"/>
        <v>35850037.909999996</v>
      </c>
      <c r="S21" s="32">
        <v>0</v>
      </c>
      <c r="T21" s="18">
        <f t="shared" si="3"/>
        <v>35850037.909999996</v>
      </c>
      <c r="U21" s="18">
        <f t="shared" si="4"/>
        <v>331093.08000000566</v>
      </c>
      <c r="V21" s="50">
        <f>+Y21/X21</f>
        <v>36183351.999999993</v>
      </c>
      <c r="W21" s="39">
        <f t="shared" si="14"/>
        <v>50</v>
      </c>
      <c r="X21" s="19">
        <f t="shared" si="15"/>
        <v>0.02</v>
      </c>
      <c r="Y21" s="18">
        <v>723667.0399999998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LTPL'!G22</f>
        <v>6156917.75</v>
      </c>
      <c r="E22" s="15">
        <v>54503.389999999665</v>
      </c>
      <c r="F22" s="15">
        <v>0</v>
      </c>
      <c r="G22" s="16">
        <f t="shared" si="9"/>
        <v>6211421.1399999997</v>
      </c>
      <c r="H22" s="38">
        <f>'2023 Combined'!H22</f>
        <v>40</v>
      </c>
      <c r="I22" s="32">
        <f>+'2022 LTPL'!L22</f>
        <v>51307.65</v>
      </c>
      <c r="J22" s="30">
        <f t="shared" si="10"/>
        <v>155296.99</v>
      </c>
      <c r="K22" s="32"/>
      <c r="L22" s="16">
        <f t="shared" si="11"/>
        <v>206604.63999999998</v>
      </c>
      <c r="M22" s="18">
        <f t="shared" si="12"/>
        <v>6004816.5</v>
      </c>
      <c r="O22" s="42">
        <v>47</v>
      </c>
      <c r="P22" s="42" t="s">
        <v>10</v>
      </c>
      <c r="Q22" s="14" t="s">
        <v>21</v>
      </c>
      <c r="R22" s="18">
        <f t="shared" si="2"/>
        <v>6156917.75</v>
      </c>
      <c r="S22" s="32">
        <v>0</v>
      </c>
      <c r="T22" s="18">
        <f t="shared" si="3"/>
        <v>6156917.75</v>
      </c>
      <c r="U22" s="18">
        <f t="shared" si="4"/>
        <v>54503.389999999665</v>
      </c>
      <c r="V22" s="50">
        <f t="shared" ref="V22:V26" si="17">+Y22/X22</f>
        <v>6211879.5999999996</v>
      </c>
      <c r="W22" s="39">
        <f t="shared" si="14"/>
        <v>40</v>
      </c>
      <c r="X22" s="19">
        <f t="shared" si="15"/>
        <v>2.5000000000000001E-2</v>
      </c>
      <c r="Y22" s="18">
        <v>155296.99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LTPL'!G23</f>
        <v>1485731.23</v>
      </c>
      <c r="E23" s="15">
        <v>5738.4699999999721</v>
      </c>
      <c r="F23" s="15">
        <v>0</v>
      </c>
      <c r="G23" s="16">
        <f t="shared" si="9"/>
        <v>1491469.7</v>
      </c>
      <c r="H23" s="38">
        <f>'2023 Combined'!H23</f>
        <v>20</v>
      </c>
      <c r="I23" s="32">
        <f>+'2022 LTPL'!L23</f>
        <v>24762.19</v>
      </c>
      <c r="J23" s="30">
        <f t="shared" si="10"/>
        <v>74578.34</v>
      </c>
      <c r="K23" s="32"/>
      <c r="L23" s="16">
        <f t="shared" si="11"/>
        <v>99340.53</v>
      </c>
      <c r="M23" s="18">
        <f>G23-L23</f>
        <v>1392129.17</v>
      </c>
      <c r="O23" s="42">
        <v>47</v>
      </c>
      <c r="P23" s="42" t="s">
        <v>11</v>
      </c>
      <c r="Q23" s="14" t="s">
        <v>22</v>
      </c>
      <c r="R23" s="18">
        <f t="shared" si="2"/>
        <v>1485731.23</v>
      </c>
      <c r="S23" s="32">
        <v>0</v>
      </c>
      <c r="T23" s="18">
        <f t="shared" si="3"/>
        <v>1485731.23</v>
      </c>
      <c r="U23" s="18">
        <f t="shared" si="4"/>
        <v>5738.4699999999721</v>
      </c>
      <c r="V23" s="50">
        <f t="shared" si="17"/>
        <v>1491566.7999999998</v>
      </c>
      <c r="W23" s="39">
        <f t="shared" si="14"/>
        <v>20</v>
      </c>
      <c r="X23" s="19">
        <f t="shared" si="15"/>
        <v>0.05</v>
      </c>
      <c r="Y23" s="18">
        <v>74578.34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LTPL'!G24</f>
        <v>112607524.87</v>
      </c>
      <c r="E24" s="15">
        <v>0</v>
      </c>
      <c r="F24" s="15">
        <v>0</v>
      </c>
      <c r="G24" s="16">
        <f t="shared" si="9"/>
        <v>112607524.87</v>
      </c>
      <c r="H24" s="38">
        <f>'2023 Combined'!H24</f>
        <v>60</v>
      </c>
      <c r="I24" s="32">
        <f>+'2022 LTPL'!L24</f>
        <v>625597.37</v>
      </c>
      <c r="J24" s="30">
        <f t="shared" si="10"/>
        <v>1876792.0800000003</v>
      </c>
      <c r="K24" s="32"/>
      <c r="L24" s="16">
        <f t="shared" si="11"/>
        <v>2502389.4500000002</v>
      </c>
      <c r="M24" s="18">
        <f t="shared" ref="M24:M45" si="18">G24-L24</f>
        <v>110105135.42</v>
      </c>
      <c r="O24" s="42">
        <v>47</v>
      </c>
      <c r="P24" s="42">
        <v>1720</v>
      </c>
      <c r="Q24" s="14" t="s">
        <v>16</v>
      </c>
      <c r="R24" s="18">
        <f t="shared" si="2"/>
        <v>112607524.87</v>
      </c>
      <c r="S24" s="32">
        <v>0</v>
      </c>
      <c r="T24" s="18">
        <f t="shared" si="3"/>
        <v>112607524.87</v>
      </c>
      <c r="U24" s="18">
        <f t="shared" si="4"/>
        <v>0</v>
      </c>
      <c r="V24" s="50">
        <f t="shared" si="17"/>
        <v>112607524.80000003</v>
      </c>
      <c r="W24" s="39">
        <f t="shared" si="14"/>
        <v>60</v>
      </c>
      <c r="X24" s="19">
        <f t="shared" si="15"/>
        <v>1.6666666666666666E-2</v>
      </c>
      <c r="Y24" s="18">
        <v>1876792.0800000003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+'2022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LTPL'!G26</f>
        <v>134211114.39</v>
      </c>
      <c r="E26" s="15">
        <v>0</v>
      </c>
      <c r="F26" s="15">
        <v>0</v>
      </c>
      <c r="G26" s="16">
        <f t="shared" si="9"/>
        <v>134211114.39</v>
      </c>
      <c r="H26" s="38">
        <f>'2023 Combined'!H26</f>
        <v>45</v>
      </c>
      <c r="I26" s="32">
        <f>+'2022 LTPL'!L26</f>
        <v>994156.4</v>
      </c>
      <c r="J26" s="30">
        <f t="shared" si="10"/>
        <v>2982469.21</v>
      </c>
      <c r="K26" s="32"/>
      <c r="L26" s="16">
        <f t="shared" si="11"/>
        <v>3976625.61</v>
      </c>
      <c r="M26" s="18">
        <f t="shared" si="18"/>
        <v>130234488.78</v>
      </c>
      <c r="O26" s="42">
        <v>47</v>
      </c>
      <c r="P26" s="42">
        <v>1730</v>
      </c>
      <c r="Q26" s="14" t="s">
        <v>18</v>
      </c>
      <c r="R26" s="18">
        <f t="shared" si="2"/>
        <v>134211114.39</v>
      </c>
      <c r="S26" s="32">
        <v>0</v>
      </c>
      <c r="T26" s="18">
        <f t="shared" si="3"/>
        <v>134211114.39</v>
      </c>
      <c r="U26" s="18">
        <f t="shared" si="4"/>
        <v>0</v>
      </c>
      <c r="V26" s="50">
        <f t="shared" si="17"/>
        <v>134211114.44999999</v>
      </c>
      <c r="W26" s="39">
        <f t="shared" si="14"/>
        <v>45</v>
      </c>
      <c r="X26" s="19">
        <f t="shared" si="15"/>
        <v>2.2222222222222223E-2</v>
      </c>
      <c r="Y26" s="18">
        <v>2982469.21</v>
      </c>
    </row>
    <row r="27" spans="1:25" x14ac:dyDescent="0.2">
      <c r="A27" s="42"/>
      <c r="B27" s="42">
        <v>1735</v>
      </c>
      <c r="C27" s="14" t="s">
        <v>19</v>
      </c>
      <c r="D27" s="15">
        <f>+'2022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+'2022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f>+'2022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+'2022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f>+'2022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+'2022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290311326.14999998</v>
      </c>
      <c r="E46" s="22">
        <f>SUM(E12:E15,E17:E29,E31:E45)</f>
        <v>391334.9400000053</v>
      </c>
      <c r="F46" s="22">
        <f>SUM(F12:F15,F17:F29,F31:F45)</f>
        <v>0</v>
      </c>
      <c r="G46" s="22">
        <f>SUM(G12:G15,G17:G29,G31:G45)</f>
        <v>290702661.09000003</v>
      </c>
      <c r="H46" s="33"/>
      <c r="I46" s="22">
        <f>SUM(I12:I15,I17:I29,I31:I45)</f>
        <v>1934823.8599999999</v>
      </c>
      <c r="J46" s="22">
        <f>SUM(J12:J15,J17:J29,J31:J45)</f>
        <v>5812803.6600000001</v>
      </c>
      <c r="K46" s="22">
        <f>SUM(K12:K15,K17:K29,K31:K45)</f>
        <v>0</v>
      </c>
      <c r="L46" s="22">
        <f>SUM(L12:L15,L17:L29,L31:L45)</f>
        <v>7747627.5199999996</v>
      </c>
      <c r="M46" s="22">
        <f>SUM(M12:M15,M17:M29,M31:M45)</f>
        <v>282955033.57000005</v>
      </c>
      <c r="N46" s="23"/>
      <c r="O46" s="44"/>
      <c r="P46" s="44"/>
      <c r="Q46" s="20" t="s">
        <v>77</v>
      </c>
      <c r="R46" s="22">
        <f>SUM(R12:R15,R17:R29,R31:R45)</f>
        <v>290311326.14999998</v>
      </c>
      <c r="S46" s="22">
        <f>SUM(S12:S15,S17:S29,S31:S45)</f>
        <v>0</v>
      </c>
      <c r="T46" s="22">
        <f>SUM(T12:T15,T17:T29,T31:T45)</f>
        <v>290311326.14999998</v>
      </c>
      <c r="U46" s="22">
        <f>SUM(U12:U15,U17:U29,U31:U45)</f>
        <v>391334.9400000053</v>
      </c>
      <c r="V46" s="22">
        <f>SUM(V12:V15,V17:V29,V31:V45)</f>
        <v>290705437.64999998</v>
      </c>
      <c r="W46" s="24"/>
      <c r="X46" s="24"/>
      <c r="Y46" s="22">
        <f>SUM(Y12:Y15,Y17:Y29,Y31:Y44)</f>
        <v>5812803.6600000001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290311326.14999998</v>
      </c>
      <c r="E49" s="16">
        <f>SUM(E46:E48)</f>
        <v>391334.9400000053</v>
      </c>
      <c r="F49" s="16">
        <f>SUM(F46:F48)</f>
        <v>0</v>
      </c>
      <c r="G49" s="16">
        <f>SUM(G46:G48)</f>
        <v>290702661.09000003</v>
      </c>
      <c r="H49" s="33"/>
      <c r="I49" s="16">
        <f>SUM(I46:I48)</f>
        <v>1934823.8599999999</v>
      </c>
      <c r="J49" s="16">
        <f>SUM(J46:J48)</f>
        <v>5812803.6600000001</v>
      </c>
      <c r="K49" s="16">
        <f>SUM(K46:K48)</f>
        <v>0</v>
      </c>
      <c r="L49" s="16">
        <f>SUM(L46:L48)</f>
        <v>7747627.5199999996</v>
      </c>
      <c r="M49" s="16">
        <f>SUM(M46:M48)</f>
        <v>282955033.57000005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5812803.6600000001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idden="1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hidden="1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hidden="1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hidden="1" thickBot="1" x14ac:dyDescent="0.25">
      <c r="D59" s="3"/>
      <c r="E59" s="3"/>
      <c r="F59" s="3"/>
      <c r="G59" s="35" t="s">
        <v>68</v>
      </c>
      <c r="I59" s="3"/>
      <c r="J59" s="27">
        <f>J51+SUM(J54:J58)</f>
        <v>5812803.6600000001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&amp;L&amp;"Times New Roman,Regular"&amp;8 53141182.2</oddFooter>
  </headerFooter>
  <colBreaks count="1" manualBreakCount="1">
    <brk id="9" max="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739B-2FC5-411F-8FF7-554B0AE736B8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&amp;L&amp;"Times New Roman,Regular"&amp;8 53141182.2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2B0F-D770-4425-8203-6D20E1DFEE10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E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3" t="s">
        <v>81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2023</v>
      </c>
      <c r="T5" s="48" t="s">
        <v>74</v>
      </c>
      <c r="U5" s="41">
        <f>F5</f>
        <v>2023</v>
      </c>
    </row>
    <row r="7" spans="1:25" x14ac:dyDescent="0.2">
      <c r="D7" s="85"/>
      <c r="E7" s="85"/>
      <c r="F7" s="85"/>
      <c r="G7" s="85"/>
      <c r="H7" s="85"/>
    </row>
    <row r="9" spans="1:25" x14ac:dyDescent="0.2">
      <c r="D9" s="86" t="s">
        <v>7</v>
      </c>
      <c r="E9" s="86"/>
      <c r="F9" s="86"/>
      <c r="G9" s="86"/>
      <c r="I9" s="86" t="s">
        <v>8</v>
      </c>
      <c r="J9" s="86"/>
      <c r="K9" s="86"/>
      <c r="L9" s="86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+'2022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+'2022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RCL'!G18</f>
        <v>0</v>
      </c>
      <c r="E18" s="15">
        <v>0</v>
      </c>
      <c r="F18" s="15">
        <v>0</v>
      </c>
      <c r="G18" s="16">
        <f t="shared" si="4"/>
        <v>0</v>
      </c>
      <c r="H18" s="38"/>
      <c r="I18" s="32">
        <f>+'2022 RCL'!L18</f>
        <v>0</v>
      </c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42"/>
      <c r="P18" s="42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">
      <c r="A19" s="42"/>
      <c r="B19" s="42">
        <v>1708</v>
      </c>
      <c r="C19" s="14" t="s">
        <v>31</v>
      </c>
      <c r="D19" s="15">
        <f>+'2022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+'2022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">
      <c r="A20" s="42"/>
      <c r="B20" s="42">
        <v>1710</v>
      </c>
      <c r="C20" s="14" t="s">
        <v>26</v>
      </c>
      <c r="D20" s="15">
        <f>+'2022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+'2022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RCL'!G21</f>
        <v>64456845.590000004</v>
      </c>
      <c r="E21" s="15">
        <v>130952436.89000015</v>
      </c>
      <c r="F21" s="15">
        <v>0</v>
      </c>
      <c r="G21" s="16">
        <f t="shared" si="4"/>
        <v>195409282.48000014</v>
      </c>
      <c r="H21" s="38">
        <f>'2023 Combined'!H21</f>
        <v>50</v>
      </c>
      <c r="I21" s="32">
        <f>+'2022 RCL'!L21</f>
        <v>190998.34</v>
      </c>
      <c r="J21" s="30">
        <f t="shared" si="5"/>
        <v>2121598.9599999995</v>
      </c>
      <c r="K21" s="32"/>
      <c r="L21" s="16">
        <f t="shared" si="6"/>
        <v>2312597.2999999993</v>
      </c>
      <c r="M21" s="18">
        <f t="shared" si="7"/>
        <v>193096685.18000013</v>
      </c>
      <c r="O21" s="42">
        <v>47</v>
      </c>
      <c r="P21" s="42">
        <v>1715</v>
      </c>
      <c r="Q21" s="14" t="s">
        <v>14</v>
      </c>
      <c r="R21" s="18">
        <f t="shared" si="8"/>
        <v>64456845.590000004</v>
      </c>
      <c r="S21" s="32">
        <v>0</v>
      </c>
      <c r="T21" s="18">
        <f t="shared" si="2"/>
        <v>64456845.590000004</v>
      </c>
      <c r="U21" s="18">
        <f t="shared" si="9"/>
        <v>130952436.89000015</v>
      </c>
      <c r="V21" s="18">
        <f>+Y21/X21</f>
        <v>106079947.99999997</v>
      </c>
      <c r="W21" s="39">
        <f t="shared" si="11"/>
        <v>50</v>
      </c>
      <c r="X21" s="19">
        <f t="shared" si="12"/>
        <v>0.02</v>
      </c>
      <c r="Y21" s="18">
        <v>2121598.9599999995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RCL'!G22</f>
        <v>6615304.5899999999</v>
      </c>
      <c r="E22" s="15">
        <v>11537492.039999999</v>
      </c>
      <c r="F22" s="15">
        <v>0</v>
      </c>
      <c r="G22" s="16">
        <f t="shared" si="4"/>
        <v>18152796.629999999</v>
      </c>
      <c r="H22" s="38">
        <f>'2023 Combined'!H22</f>
        <v>40</v>
      </c>
      <c r="I22" s="32">
        <f>+'2022 RCL'!L22</f>
        <v>26330</v>
      </c>
      <c r="J22" s="30">
        <f t="shared" si="5"/>
        <v>260596.77000000002</v>
      </c>
      <c r="K22" s="32"/>
      <c r="L22" s="16">
        <f t="shared" si="6"/>
        <v>286926.77</v>
      </c>
      <c r="M22" s="18">
        <f t="shared" si="7"/>
        <v>17865869.859999999</v>
      </c>
      <c r="O22" s="42">
        <v>47</v>
      </c>
      <c r="P22" s="42" t="s">
        <v>10</v>
      </c>
      <c r="Q22" s="14" t="s">
        <v>21</v>
      </c>
      <c r="R22" s="18">
        <f t="shared" si="8"/>
        <v>6615304.5899999999</v>
      </c>
      <c r="S22" s="32">
        <v>0</v>
      </c>
      <c r="T22" s="18">
        <f t="shared" si="2"/>
        <v>6615304.5899999999</v>
      </c>
      <c r="U22" s="18">
        <f t="shared" si="9"/>
        <v>11537492.039999999</v>
      </c>
      <c r="V22" s="18">
        <f t="shared" ref="V22:V26" si="14">+Y22/X22</f>
        <v>10423870.800000001</v>
      </c>
      <c r="W22" s="39">
        <f t="shared" si="11"/>
        <v>40</v>
      </c>
      <c r="X22" s="19">
        <f t="shared" si="12"/>
        <v>2.5000000000000001E-2</v>
      </c>
      <c r="Y22" s="18">
        <v>260596.77000000002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RCL'!G23</f>
        <v>2874283.62</v>
      </c>
      <c r="E23" s="15">
        <v>5336825.99</v>
      </c>
      <c r="F23" s="15">
        <v>0</v>
      </c>
      <c r="G23" s="16">
        <f t="shared" si="4"/>
        <v>8211109.6100000003</v>
      </c>
      <c r="H23" s="38">
        <f>'2023 Combined'!H23</f>
        <v>20</v>
      </c>
      <c r="I23" s="32">
        <f>+'2022 RCL'!L23</f>
        <v>20795.45</v>
      </c>
      <c r="J23" s="30">
        <f t="shared" si="5"/>
        <v>224769.86999999997</v>
      </c>
      <c r="K23" s="32"/>
      <c r="L23" s="16">
        <f t="shared" si="6"/>
        <v>245565.31999999998</v>
      </c>
      <c r="M23" s="18">
        <f>G23-L23</f>
        <v>7965544.29</v>
      </c>
      <c r="O23" s="42">
        <v>47</v>
      </c>
      <c r="P23" s="42" t="s">
        <v>11</v>
      </c>
      <c r="Q23" s="14" t="s">
        <v>22</v>
      </c>
      <c r="R23" s="18">
        <f t="shared" si="8"/>
        <v>2874283.62</v>
      </c>
      <c r="S23" s="32">
        <v>0</v>
      </c>
      <c r="T23" s="18">
        <f t="shared" si="2"/>
        <v>2874283.62</v>
      </c>
      <c r="U23" s="18">
        <f t="shared" si="9"/>
        <v>5336825.99</v>
      </c>
      <c r="V23" s="18">
        <f t="shared" si="14"/>
        <v>4495397.3999999994</v>
      </c>
      <c r="W23" s="39">
        <f t="shared" si="11"/>
        <v>20</v>
      </c>
      <c r="X23" s="19">
        <f t="shared" si="12"/>
        <v>0.05</v>
      </c>
      <c r="Y23" s="18">
        <v>224769.86999999997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RCL'!G24</f>
        <v>142608709.06</v>
      </c>
      <c r="E24" s="15">
        <v>149909431.72</v>
      </c>
      <c r="F24" s="15">
        <v>0</v>
      </c>
      <c r="G24" s="16">
        <f t="shared" si="4"/>
        <v>292518140.77999997</v>
      </c>
      <c r="H24" s="38">
        <f>'2023 Combined'!H24</f>
        <v>60</v>
      </c>
      <c r="I24" s="32">
        <f>+'2022 RCL'!L24</f>
        <v>348974.59</v>
      </c>
      <c r="J24" s="30">
        <f t="shared" si="5"/>
        <v>3056836.5100000007</v>
      </c>
      <c r="K24" s="32"/>
      <c r="L24" s="16">
        <f t="shared" si="6"/>
        <v>3405811.1000000006</v>
      </c>
      <c r="M24" s="18">
        <f t="shared" ref="M24:M45" si="15">G24-L24</f>
        <v>289112329.67999995</v>
      </c>
      <c r="O24" s="42">
        <v>47</v>
      </c>
      <c r="P24" s="42">
        <v>1720</v>
      </c>
      <c r="Q24" s="14" t="s">
        <v>16</v>
      </c>
      <c r="R24" s="18">
        <f t="shared" si="8"/>
        <v>142608709.06</v>
      </c>
      <c r="S24" s="32">
        <v>0</v>
      </c>
      <c r="T24" s="18">
        <f t="shared" si="2"/>
        <v>142608709.06</v>
      </c>
      <c r="U24" s="18">
        <f t="shared" si="9"/>
        <v>149909431.72</v>
      </c>
      <c r="V24" s="18">
        <f t="shared" si="14"/>
        <v>183410190.60000005</v>
      </c>
      <c r="W24" s="39">
        <f t="shared" si="11"/>
        <v>60</v>
      </c>
      <c r="X24" s="19">
        <f t="shared" si="12"/>
        <v>1.6666666666666666E-2</v>
      </c>
      <c r="Y24" s="18">
        <v>3056836.5100000007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RCL'!G25</f>
        <v>1727764.71</v>
      </c>
      <c r="E25" s="15">
        <v>32218428.289999992</v>
      </c>
      <c r="F25" s="15">
        <v>0</v>
      </c>
      <c r="G25" s="16">
        <f t="shared" si="4"/>
        <v>33946192.999999993</v>
      </c>
      <c r="H25" s="38">
        <f>'2023 Combined'!H25</f>
        <v>45</v>
      </c>
      <c r="I25" s="32">
        <f>+'2022 RCL'!L25</f>
        <v>4123.38</v>
      </c>
      <c r="J25" s="30">
        <f t="shared" si="5"/>
        <v>356381.8</v>
      </c>
      <c r="K25" s="32"/>
      <c r="L25" s="16">
        <f t="shared" si="6"/>
        <v>360505.18</v>
      </c>
      <c r="M25" s="18">
        <f t="shared" si="15"/>
        <v>33585687.819999993</v>
      </c>
      <c r="O25" s="42">
        <v>47</v>
      </c>
      <c r="P25" s="42">
        <v>1725</v>
      </c>
      <c r="Q25" s="14" t="s">
        <v>17</v>
      </c>
      <c r="R25" s="18">
        <f t="shared" si="8"/>
        <v>1727764.71</v>
      </c>
      <c r="S25" s="32">
        <v>0</v>
      </c>
      <c r="T25" s="18">
        <f t="shared" si="2"/>
        <v>1727764.71</v>
      </c>
      <c r="U25" s="18">
        <f t="shared" si="9"/>
        <v>32218428.289999992</v>
      </c>
      <c r="V25" s="18">
        <f t="shared" si="14"/>
        <v>16037180.999999998</v>
      </c>
      <c r="W25" s="39">
        <f t="shared" si="11"/>
        <v>45</v>
      </c>
      <c r="X25" s="19">
        <f t="shared" si="12"/>
        <v>2.2222222222222223E-2</v>
      </c>
      <c r="Y25" s="18">
        <v>356381.8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RCL'!G26</f>
        <v>170593249.97</v>
      </c>
      <c r="E26" s="15">
        <v>167600173.18000007</v>
      </c>
      <c r="F26" s="15">
        <v>0</v>
      </c>
      <c r="G26" s="16">
        <f t="shared" si="4"/>
        <v>338193423.1500001</v>
      </c>
      <c r="H26" s="38">
        <f>'2023 Combined'!H26</f>
        <v>45</v>
      </c>
      <c r="I26" s="32">
        <f>+'2022 RCL'!L26</f>
        <v>562877.54</v>
      </c>
      <c r="J26" s="30">
        <f t="shared" si="5"/>
        <v>4901890.6899999995</v>
      </c>
      <c r="K26" s="32"/>
      <c r="L26" s="16">
        <f t="shared" si="6"/>
        <v>5464768.2299999995</v>
      </c>
      <c r="M26" s="18">
        <f t="shared" si="15"/>
        <v>332728654.92000008</v>
      </c>
      <c r="O26" s="42">
        <v>47</v>
      </c>
      <c r="P26" s="42">
        <v>1730</v>
      </c>
      <c r="Q26" s="14" t="s">
        <v>18</v>
      </c>
      <c r="R26" s="18">
        <f t="shared" si="8"/>
        <v>170593249.97</v>
      </c>
      <c r="S26" s="32">
        <v>0</v>
      </c>
      <c r="T26" s="18">
        <f t="shared" si="2"/>
        <v>170593249.97</v>
      </c>
      <c r="U26" s="18">
        <f t="shared" si="9"/>
        <v>167600173.18000007</v>
      </c>
      <c r="V26" s="18">
        <f t="shared" si="14"/>
        <v>220585081.04999998</v>
      </c>
      <c r="W26" s="39">
        <f t="shared" si="11"/>
        <v>45</v>
      </c>
      <c r="X26" s="19">
        <f t="shared" si="12"/>
        <v>2.2222222222222223E-2</v>
      </c>
      <c r="Y26" s="18">
        <v>4901890.6899999995</v>
      </c>
    </row>
    <row r="27" spans="1:25" x14ac:dyDescent="0.2">
      <c r="A27" s="42"/>
      <c r="B27" s="42">
        <v>1735</v>
      </c>
      <c r="C27" s="14" t="s">
        <v>19</v>
      </c>
      <c r="D27" s="15">
        <f>+'2022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+'2022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6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42"/>
      <c r="B28" s="42">
        <v>1740</v>
      </c>
      <c r="C28" s="14" t="s">
        <v>20</v>
      </c>
      <c r="D28" s="15">
        <f>+'2022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+'2022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6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42"/>
      <c r="B29" s="42">
        <v>1745</v>
      </c>
      <c r="C29" s="14" t="s">
        <v>27</v>
      </c>
      <c r="D29" s="15">
        <f>+'2022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+'2022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6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7">SUM(D31:F31)</f>
        <v>0</v>
      </c>
      <c r="H31" s="38"/>
      <c r="I31" s="32"/>
      <c r="J31" s="30">
        <f t="shared" ref="J31:J45" si="18">Y31</f>
        <v>0</v>
      </c>
      <c r="K31" s="32"/>
      <c r="L31" s="16">
        <f t="shared" ref="L31:L45" si="19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ref="R31:R45" si="20">D31</f>
        <v>0</v>
      </c>
      <c r="S31" s="32">
        <v>0</v>
      </c>
      <c r="T31" s="18">
        <f t="shared" si="2"/>
        <v>0</v>
      </c>
      <c r="U31" s="18">
        <f t="shared" ref="U31:U45" si="21">E31</f>
        <v>0</v>
      </c>
      <c r="V31" s="18">
        <f t="shared" ref="V31:V45" si="22">T31+U31/2</f>
        <v>0</v>
      </c>
      <c r="W31" s="39">
        <f t="shared" ref="W31:W45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7"/>
        <v>0</v>
      </c>
      <c r="H32" s="38"/>
      <c r="I32" s="32"/>
      <c r="J32" s="30">
        <f t="shared" si="18"/>
        <v>0</v>
      </c>
      <c r="K32" s="32"/>
      <c r="L32" s="16">
        <f t="shared" si="19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20"/>
        <v>0</v>
      </c>
      <c r="S32" s="32">
        <v>0</v>
      </c>
      <c r="T32" s="18">
        <f t="shared" si="2"/>
        <v>0</v>
      </c>
      <c r="U32" s="18">
        <f t="shared" si="21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7"/>
        <v>0</v>
      </c>
      <c r="H33" s="38"/>
      <c r="I33" s="32"/>
      <c r="J33" s="30">
        <f t="shared" si="18"/>
        <v>0</v>
      </c>
      <c r="K33" s="32"/>
      <c r="L33" s="16">
        <f t="shared" si="19"/>
        <v>0</v>
      </c>
      <c r="M33" s="18">
        <f t="shared" si="15"/>
        <v>0</v>
      </c>
      <c r="O33" s="42">
        <v>8</v>
      </c>
      <c r="P33" s="42">
        <v>1915</v>
      </c>
      <c r="Q33" s="14" t="s">
        <v>32</v>
      </c>
      <c r="R33" s="18">
        <f t="shared" si="20"/>
        <v>0</v>
      </c>
      <c r="S33" s="32">
        <v>0</v>
      </c>
      <c r="T33" s="18">
        <f t="shared" si="2"/>
        <v>0</v>
      </c>
      <c r="U33" s="18">
        <f t="shared" si="21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7"/>
        <v>0</v>
      </c>
      <c r="H34" s="38"/>
      <c r="I34" s="32"/>
      <c r="J34" s="30">
        <f t="shared" si="18"/>
        <v>0</v>
      </c>
      <c r="K34" s="32"/>
      <c r="L34" s="16">
        <f t="shared" si="19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20"/>
        <v>0</v>
      </c>
      <c r="S34" s="32">
        <v>0</v>
      </c>
      <c r="T34" s="18">
        <f t="shared" si="2"/>
        <v>0</v>
      </c>
      <c r="U34" s="18">
        <f t="shared" si="21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7"/>
        <v>0</v>
      </c>
      <c r="H35" s="38"/>
      <c r="I35" s="32"/>
      <c r="J35" s="30">
        <f t="shared" si="18"/>
        <v>0</v>
      </c>
      <c r="K35" s="32"/>
      <c r="L35" s="16">
        <f t="shared" si="19"/>
        <v>0</v>
      </c>
      <c r="M35" s="18">
        <f t="shared" si="15"/>
        <v>0</v>
      </c>
      <c r="O35" s="42">
        <v>10.1</v>
      </c>
      <c r="P35" s="42">
        <v>1930</v>
      </c>
      <c r="Q35" s="14" t="s">
        <v>34</v>
      </c>
      <c r="R35" s="18">
        <f t="shared" si="20"/>
        <v>0</v>
      </c>
      <c r="S35" s="32">
        <v>0</v>
      </c>
      <c r="T35" s="18">
        <f t="shared" si="2"/>
        <v>0</v>
      </c>
      <c r="U35" s="18">
        <f t="shared" si="21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7"/>
        <v>0</v>
      </c>
      <c r="H36" s="38"/>
      <c r="I36" s="32"/>
      <c r="J36" s="30">
        <f t="shared" si="18"/>
        <v>0</v>
      </c>
      <c r="K36" s="32"/>
      <c r="L36" s="16">
        <f t="shared" si="19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20"/>
        <v>0</v>
      </c>
      <c r="S36" s="32">
        <v>0</v>
      </c>
      <c r="T36" s="18">
        <f t="shared" si="2"/>
        <v>0</v>
      </c>
      <c r="U36" s="18">
        <f t="shared" si="21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7"/>
        <v>0</v>
      </c>
      <c r="H37" s="38"/>
      <c r="I37" s="32"/>
      <c r="J37" s="30">
        <f t="shared" si="18"/>
        <v>0</v>
      </c>
      <c r="K37" s="32"/>
      <c r="L37" s="16">
        <f t="shared" si="19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20"/>
        <v>0</v>
      </c>
      <c r="S37" s="32">
        <v>0</v>
      </c>
      <c r="T37" s="18">
        <f t="shared" si="2"/>
        <v>0</v>
      </c>
      <c r="U37" s="18">
        <f t="shared" si="21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7"/>
        <v>0</v>
      </c>
      <c r="H38" s="38"/>
      <c r="I38" s="32"/>
      <c r="J38" s="30">
        <f t="shared" si="18"/>
        <v>0</v>
      </c>
      <c r="K38" s="32"/>
      <c r="L38" s="16">
        <f t="shared" si="19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20"/>
        <v>0</v>
      </c>
      <c r="S38" s="32">
        <v>0</v>
      </c>
      <c r="T38" s="18">
        <f t="shared" si="2"/>
        <v>0</v>
      </c>
      <c r="U38" s="18">
        <f t="shared" si="21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7"/>
        <v>0</v>
      </c>
      <c r="H39" s="38"/>
      <c r="I39" s="32"/>
      <c r="J39" s="30">
        <f t="shared" si="18"/>
        <v>0</v>
      </c>
      <c r="K39" s="32"/>
      <c r="L39" s="16">
        <f t="shared" si="19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20"/>
        <v>0</v>
      </c>
      <c r="S39" s="32">
        <v>0</v>
      </c>
      <c r="T39" s="18">
        <f t="shared" si="2"/>
        <v>0</v>
      </c>
      <c r="U39" s="18">
        <f t="shared" si="21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7"/>
        <v>0</v>
      </c>
      <c r="H40" s="38"/>
      <c r="I40" s="32"/>
      <c r="J40" s="30">
        <f t="shared" si="18"/>
        <v>0</v>
      </c>
      <c r="K40" s="32"/>
      <c r="L40" s="16">
        <f t="shared" si="19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20"/>
        <v>0</v>
      </c>
      <c r="S40" s="32">
        <v>0</v>
      </c>
      <c r="T40" s="18">
        <f t="shared" si="2"/>
        <v>0</v>
      </c>
      <c r="U40" s="18">
        <f t="shared" si="21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7"/>
        <v>0</v>
      </c>
      <c r="H41" s="38"/>
      <c r="I41" s="32"/>
      <c r="J41" s="30">
        <f t="shared" si="18"/>
        <v>0</v>
      </c>
      <c r="K41" s="32"/>
      <c r="L41" s="16">
        <f t="shared" si="19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20"/>
        <v>0</v>
      </c>
      <c r="S41" s="32">
        <v>0</v>
      </c>
      <c r="T41" s="18">
        <f t="shared" si="2"/>
        <v>0</v>
      </c>
      <c r="U41" s="18">
        <f t="shared" si="21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7"/>
        <v>0</v>
      </c>
      <c r="H42" s="38"/>
      <c r="I42" s="32"/>
      <c r="J42" s="30">
        <f t="shared" si="18"/>
        <v>0</v>
      </c>
      <c r="K42" s="32"/>
      <c r="L42" s="16">
        <f t="shared" si="19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20"/>
        <v>0</v>
      </c>
      <c r="S42" s="32">
        <v>0</v>
      </c>
      <c r="T42" s="18">
        <f t="shared" si="2"/>
        <v>0</v>
      </c>
      <c r="U42" s="18">
        <f t="shared" si="21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7"/>
        <v>0</v>
      </c>
      <c r="H43" s="38"/>
      <c r="I43" s="32"/>
      <c r="J43" s="30">
        <f t="shared" si="18"/>
        <v>0</v>
      </c>
      <c r="K43" s="32"/>
      <c r="L43" s="16">
        <f t="shared" si="19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20"/>
        <v>0</v>
      </c>
      <c r="S43" s="32">
        <v>0</v>
      </c>
      <c r="T43" s="18">
        <f t="shared" si="2"/>
        <v>0</v>
      </c>
      <c r="U43" s="18">
        <f t="shared" si="21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7"/>
        <v>0</v>
      </c>
      <c r="H44" s="38"/>
      <c r="I44" s="32"/>
      <c r="J44" s="30">
        <f t="shared" si="18"/>
        <v>0</v>
      </c>
      <c r="K44" s="32"/>
      <c r="L44" s="16">
        <f t="shared" si="19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20"/>
        <v>0</v>
      </c>
      <c r="S44" s="32">
        <v>0</v>
      </c>
      <c r="T44" s="18">
        <f t="shared" si="2"/>
        <v>0</v>
      </c>
      <c r="U44" s="18">
        <f t="shared" si="21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7"/>
        <v>0</v>
      </c>
      <c r="H45" s="38"/>
      <c r="I45" s="32"/>
      <c r="J45" s="30">
        <f t="shared" si="18"/>
        <v>0</v>
      </c>
      <c r="K45" s="32"/>
      <c r="L45" s="16">
        <f t="shared" si="19"/>
        <v>0</v>
      </c>
      <c r="M45" s="18">
        <f t="shared" si="15"/>
        <v>0</v>
      </c>
      <c r="N45" s="21"/>
      <c r="O45" s="42"/>
      <c r="P45" s="42"/>
      <c r="Q45" s="14"/>
      <c r="R45" s="18">
        <f t="shared" si="20"/>
        <v>0</v>
      </c>
      <c r="S45" s="32">
        <v>0</v>
      </c>
      <c r="T45" s="18">
        <f t="shared" si="2"/>
        <v>0</v>
      </c>
      <c r="U45" s="18">
        <f t="shared" si="21"/>
        <v>0</v>
      </c>
      <c r="V45" s="18">
        <f t="shared" si="22"/>
        <v>0</v>
      </c>
      <c r="W45" s="39">
        <f t="shared" si="23"/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388876157.54000002</v>
      </c>
      <c r="E46" s="22">
        <f>SUM(E12:E15,E17:E29,E31:E45)</f>
        <v>497554788.11000025</v>
      </c>
      <c r="F46" s="22">
        <f>SUM(F12:F15,F17:F29,F31:F45)</f>
        <v>0</v>
      </c>
      <c r="G46" s="22">
        <f>SUM(G12:G15,G17:G29,G31:G45)</f>
        <v>886430945.65000021</v>
      </c>
      <c r="H46" s="33"/>
      <c r="I46" s="22">
        <f>SUM(I12:I15,I17:I29,I31:I45)</f>
        <v>1154099.3</v>
      </c>
      <c r="J46" s="22">
        <f>SUM(J12:J15,J17:J29,J31:J45)</f>
        <v>10922074.6</v>
      </c>
      <c r="K46" s="22">
        <f>SUM(K12:K15,K17:K29,K31:K45)</f>
        <v>0</v>
      </c>
      <c r="L46" s="22">
        <f>SUM(L12:L15,L17:L29,L31:L45)</f>
        <v>12076173.899999999</v>
      </c>
      <c r="M46" s="22">
        <f>SUM(M12:M15,M17:M29,M31:M45)</f>
        <v>874354771.75000024</v>
      </c>
      <c r="N46" s="23"/>
      <c r="O46" s="44"/>
      <c r="P46" s="44"/>
      <c r="Q46" s="20" t="s">
        <v>77</v>
      </c>
      <c r="R46" s="22">
        <f>SUM(R12:R15,R17:R29,R31:R45)</f>
        <v>388876157.54000002</v>
      </c>
      <c r="S46" s="22">
        <f>SUM(S12:S15,S17:S29,S31:S45)</f>
        <v>0</v>
      </c>
      <c r="T46" s="22">
        <f>SUM(T12:T15,T17:T29,T31:T45)</f>
        <v>388876157.54000002</v>
      </c>
      <c r="U46" s="22">
        <f>SUM(U12:U15,U17:U29,U31:U45)</f>
        <v>497554788.11000025</v>
      </c>
      <c r="V46" s="22">
        <f>SUM(V12:V15,V17:V29,V31:V45)</f>
        <v>541031668.85000002</v>
      </c>
      <c r="W46" s="24"/>
      <c r="X46" s="24"/>
      <c r="Y46" s="22">
        <f>SUM(Y12:Y15,Y17:Y29,Y31:Y44)</f>
        <v>10922074.6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388876157.54000002</v>
      </c>
      <c r="E49" s="16">
        <f>SUM(E46:E48)</f>
        <v>497554788.11000025</v>
      </c>
      <c r="F49" s="16">
        <f>SUM(F46:F48)</f>
        <v>0</v>
      </c>
      <c r="G49" s="16">
        <f>SUM(G46:G48)</f>
        <v>886430945.65000021</v>
      </c>
      <c r="H49" s="33"/>
      <c r="I49" s="16">
        <f>SUM(I46:I48)</f>
        <v>1154099.3</v>
      </c>
      <c r="J49" s="16">
        <f>SUM(J46:J48)</f>
        <v>10922074.6</v>
      </c>
      <c r="K49" s="16">
        <f>SUM(K46:K48)</f>
        <v>0</v>
      </c>
      <c r="L49" s="16">
        <f>SUM(L46:L48)</f>
        <v>12076173.899999999</v>
      </c>
      <c r="M49" s="16">
        <f>SUM(M46:M48)</f>
        <v>874354771.75000024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8" t="s">
        <v>62</v>
      </c>
      <c r="D50" s="88"/>
      <c r="E50" s="88"/>
      <c r="F50" s="88"/>
      <c r="G50" s="88"/>
      <c r="H50" s="88"/>
      <c r="I50" s="8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9" t="s">
        <v>63</v>
      </c>
      <c r="D51" s="89"/>
      <c r="E51" s="89"/>
      <c r="F51" s="89"/>
      <c r="G51" s="89"/>
      <c r="H51" s="89"/>
      <c r="I51" s="89"/>
      <c r="J51" s="16">
        <f>J49+J50</f>
        <v>10922074.6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10922074.6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&amp;L&amp;"Times New Roman,Regular"&amp;8 53141182.2</oddFooter>
  </headerFooter>
  <colBreaks count="1" manualBreakCount="1">
    <brk id="9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45BA-7287-4AF2-8AFB-04B8F61FC154}">
  <sheetPr>
    <pageSetUpPr fitToPage="1"/>
  </sheetPr>
  <dimension ref="A2:Y63"/>
  <sheetViews>
    <sheetView showGridLines="0" view="pageBreakPreview" zoomScale="130" zoomScaleNormal="100" zoomScaleSheetLayoutView="130" workbookViewId="0">
      <pane xSplit="3" ySplit="10" topLeftCell="D35" activePane="bottomRight" state="frozen"/>
      <selection activeCell="V12" sqref="V12"/>
      <selection pane="topRight" activeCell="V12" sqref="V12"/>
      <selection pane="bottomLeft" activeCell="V12" sqref="V12"/>
      <selection pane="bottomRight" activeCell="Q54" sqref="A54:Q54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6.285156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4.85546875" style="1" customWidth="1"/>
    <col min="19" max="19" width="9.5703125" style="1" bestFit="1" customWidth="1"/>
    <col min="20" max="20" width="12.7109375" style="1" customWidth="1"/>
    <col min="21" max="21" width="12.5703125" style="1" customWidth="1"/>
    <col min="22" max="22" width="13.2851562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17.100000000000001" customHeight="1" x14ac:dyDescent="0.35">
      <c r="A2" s="83" t="s">
        <v>84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4" t="s">
        <v>73</v>
      </c>
      <c r="E4" s="84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2024</v>
      </c>
      <c r="S5" s="48" t="s">
        <v>74</v>
      </c>
      <c r="T5" s="41">
        <f>F5</f>
        <v>2024</v>
      </c>
    </row>
    <row r="7" spans="1:25" ht="2.25" customHeight="1" x14ac:dyDescent="0.2">
      <c r="D7" s="85"/>
      <c r="E7" s="85"/>
      <c r="F7" s="85"/>
      <c r="G7" s="85"/>
      <c r="H7" s="85"/>
    </row>
    <row r="8" spans="1:25" ht="2.1" customHeight="1" x14ac:dyDescent="0.2"/>
    <row r="9" spans="1:25" hidden="1" x14ac:dyDescent="0.2">
      <c r="D9" s="86" t="s">
        <v>7</v>
      </c>
      <c r="E9" s="86"/>
      <c r="F9" s="86"/>
      <c r="G9" s="86"/>
      <c r="I9" s="90" t="s">
        <v>8</v>
      </c>
      <c r="J9" s="90"/>
      <c r="K9" s="90"/>
      <c r="L9" s="90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77" t="s">
        <v>13</v>
      </c>
      <c r="I10" s="78" t="s">
        <v>3</v>
      </c>
      <c r="J10" s="79" t="s">
        <v>4</v>
      </c>
      <c r="K10" s="79" t="s">
        <v>5</v>
      </c>
      <c r="L10" s="79" t="s">
        <v>6</v>
      </c>
      <c r="M10" s="80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7"/>
      <c r="E11" s="87"/>
      <c r="F11" s="87"/>
      <c r="G11" s="87"/>
      <c r="H11" s="87"/>
      <c r="I11" s="87"/>
      <c r="J11" s="87"/>
      <c r="K11" s="87"/>
      <c r="L11" s="87"/>
      <c r="M11" s="87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+'2023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+'2023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+'2023 Combined'!G14</f>
        <v>0</v>
      </c>
      <c r="E14" s="15">
        <v>0</v>
      </c>
      <c r="F14" s="15">
        <v>0</v>
      </c>
      <c r="G14" s="16">
        <f>SUM(D14:F14)</f>
        <v>0</v>
      </c>
      <c r="H14" s="15">
        <v>5</v>
      </c>
      <c r="I14" s="15">
        <f>+'2023 Combined'!L14</f>
        <v>0</v>
      </c>
      <c r="J14" s="30">
        <f t="shared" si="2"/>
        <v>0</v>
      </c>
      <c r="K14" s="15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>+Y14/X14</f>
        <v>0</v>
      </c>
      <c r="W14" s="39">
        <f t="shared" si="7"/>
        <v>5</v>
      </c>
      <c r="X14" s="19">
        <f t="shared" si="8"/>
        <v>0.2</v>
      </c>
      <c r="Y14" s="18">
        <v>0</v>
      </c>
    </row>
    <row r="15" spans="1:25" x14ac:dyDescent="0.2">
      <c r="A15" s="42"/>
      <c r="B15" s="42">
        <v>1612</v>
      </c>
      <c r="C15" s="14" t="s">
        <v>28</v>
      </c>
      <c r="D15" s="15">
        <f>+'2023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f>+'2024 LTPL'!D17+'2024 RCL'!D17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'2024 LTPL'!V17+'2024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'2024 LTPL'!Y17+'2024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f>+'2024 LTPL'!D18+'2024 RCL'!D18</f>
        <v>54795.57</v>
      </c>
      <c r="E18" s="15">
        <v>0</v>
      </c>
      <c r="F18" s="15">
        <v>0</v>
      </c>
      <c r="G18" s="16">
        <f t="shared" si="9"/>
        <v>54795.57</v>
      </c>
      <c r="H18" s="15">
        <v>40</v>
      </c>
      <c r="I18" s="15">
        <f>+'2024 LTPL'!I18+'2024 RCL'!I18</f>
        <v>6849.45</v>
      </c>
      <c r="J18" s="30">
        <f t="shared" si="10"/>
        <v>1369.8900000000003</v>
      </c>
      <c r="K18" s="15"/>
      <c r="L18" s="16">
        <f t="shared" si="11"/>
        <v>8219.34</v>
      </c>
      <c r="M18" s="18">
        <f t="shared" si="12"/>
        <v>46576.229999999996</v>
      </c>
      <c r="O18" s="42"/>
      <c r="P18" s="42">
        <v>1706</v>
      </c>
      <c r="Q18" s="14" t="s">
        <v>25</v>
      </c>
      <c r="R18" s="18">
        <f t="shared" si="3"/>
        <v>54795.57</v>
      </c>
      <c r="S18" s="32">
        <v>0</v>
      </c>
      <c r="T18" s="18">
        <f t="shared" si="4"/>
        <v>54795.57</v>
      </c>
      <c r="U18" s="18">
        <f t="shared" si="5"/>
        <v>0</v>
      </c>
      <c r="V18" s="18">
        <f>'2024 LTPL'!V18+'2024 RCL'!V18</f>
        <v>54795.57</v>
      </c>
      <c r="W18" s="39">
        <f t="shared" si="13"/>
        <v>40</v>
      </c>
      <c r="X18" s="19">
        <f t="shared" si="14"/>
        <v>2.5000000000000001E-2</v>
      </c>
      <c r="Y18" s="18">
        <f>'2024 LTPL'!Y18+'2024 RCL'!Y18</f>
        <v>1369.8900000000003</v>
      </c>
    </row>
    <row r="19" spans="1:25" x14ac:dyDescent="0.2">
      <c r="A19" s="42"/>
      <c r="B19" s="42">
        <v>1708</v>
      </c>
      <c r="C19" s="14" t="s">
        <v>31</v>
      </c>
      <c r="D19" s="15">
        <f>+'2024 LTPL'!D19+'2024 RCL'!D19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+'2024 LTPL'!I19+'2024 RCL'!I19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'2024 LTPL'!V19+'2024 RCL'!V19</f>
        <v>0</v>
      </c>
      <c r="W19" s="39">
        <f t="shared" si="13"/>
        <v>0</v>
      </c>
      <c r="X19" s="19" t="str">
        <f t="shared" si="14"/>
        <v>-</v>
      </c>
      <c r="Y19" s="18">
        <f>'2024 LTPL'!Y19+'2024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f>+'2024 LTPL'!D20+'2024 RCL'!D20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+'2024 LTPL'!I20+'2024 RCL'!I20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'2024 LTPL'!V20+'2024 RCL'!V20</f>
        <v>0</v>
      </c>
      <c r="W20" s="39">
        <f t="shared" si="13"/>
        <v>0</v>
      </c>
      <c r="X20" s="19" t="str">
        <f t="shared" si="14"/>
        <v>-</v>
      </c>
      <c r="Y20" s="18">
        <f>'2024 LTPL'!Y20+'2024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+'2024 LTPL'!D21+'2024 RCL'!D21</f>
        <v>243908155.33000016</v>
      </c>
      <c r="E21" s="15">
        <v>128828777.17999953</v>
      </c>
      <c r="F21" s="15">
        <v>0</v>
      </c>
      <c r="G21" s="16">
        <f t="shared" si="9"/>
        <v>372736932.50999969</v>
      </c>
      <c r="H21" s="15">
        <v>50</v>
      </c>
      <c r="I21" s="15">
        <f>+'2024 LTPL'!I21+'2024 RCL'!I21</f>
        <v>4506902.9999999991</v>
      </c>
      <c r="J21" s="30">
        <f t="shared" si="10"/>
        <v>6654448.3400000017</v>
      </c>
      <c r="K21" s="15"/>
      <c r="L21" s="16">
        <f t="shared" si="11"/>
        <v>11161351.34</v>
      </c>
      <c r="M21" s="18">
        <f t="shared" si="12"/>
        <v>361575581.16999972</v>
      </c>
      <c r="O21" s="42">
        <v>47</v>
      </c>
      <c r="P21" s="42">
        <v>1715</v>
      </c>
      <c r="Q21" s="14" t="s">
        <v>14</v>
      </c>
      <c r="R21" s="18">
        <f t="shared" si="3"/>
        <v>243908155.33000016</v>
      </c>
      <c r="S21" s="32">
        <v>0</v>
      </c>
      <c r="T21" s="18">
        <f t="shared" si="4"/>
        <v>243908155.33000016</v>
      </c>
      <c r="U21" s="18">
        <f t="shared" si="5"/>
        <v>128828777.17999953</v>
      </c>
      <c r="V21" s="18">
        <f>+Y21/X21</f>
        <v>332722417.00000006</v>
      </c>
      <c r="W21" s="39">
        <f t="shared" si="13"/>
        <v>50</v>
      </c>
      <c r="X21" s="19">
        <f t="shared" si="14"/>
        <v>0.02</v>
      </c>
      <c r="Y21" s="18">
        <f>+'2024 LTPL'!J21+'2024 RCL'!Y21</f>
        <v>6654448.3400000017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+'2024 LTPL'!D22+'2024 RCL'!D22</f>
        <v>24364217.77</v>
      </c>
      <c r="E22" s="15">
        <v>9514488.4699999988</v>
      </c>
      <c r="F22" s="15">
        <v>0</v>
      </c>
      <c r="G22" s="16">
        <f t="shared" si="9"/>
        <v>33878706.239999995</v>
      </c>
      <c r="H22" s="15">
        <v>40</v>
      </c>
      <c r="I22" s="15">
        <f>+'2024 LTPL'!I22+'2024 RCL'!I22</f>
        <v>493531.41000000003</v>
      </c>
      <c r="J22" s="30">
        <f t="shared" si="10"/>
        <v>768197.36000000022</v>
      </c>
      <c r="K22" s="15"/>
      <c r="L22" s="16">
        <f t="shared" si="11"/>
        <v>1261728.7700000003</v>
      </c>
      <c r="M22" s="18">
        <f t="shared" si="12"/>
        <v>32616977.469999995</v>
      </c>
      <c r="O22" s="42">
        <v>47</v>
      </c>
      <c r="P22" s="42" t="s">
        <v>10</v>
      </c>
      <c r="Q22" s="14" t="s">
        <v>21</v>
      </c>
      <c r="R22" s="18">
        <f t="shared" si="3"/>
        <v>24364217.77</v>
      </c>
      <c r="S22" s="32">
        <v>0</v>
      </c>
      <c r="T22" s="18">
        <f t="shared" si="4"/>
        <v>24364217.77</v>
      </c>
      <c r="U22" s="18">
        <f t="shared" si="5"/>
        <v>9514488.4699999988</v>
      </c>
      <c r="V22" s="18">
        <f>'2024 LTPL'!V22+'2024 RCL'!V22</f>
        <v>30727894.40000001</v>
      </c>
      <c r="W22" s="39">
        <f t="shared" si="13"/>
        <v>40</v>
      </c>
      <c r="X22" s="19">
        <f t="shared" si="14"/>
        <v>2.5000000000000001E-2</v>
      </c>
      <c r="Y22" s="18">
        <f>+'2024 LTPL'!J22+'2024 RCL'!Y22</f>
        <v>768197.36000000022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+'2024 LTPL'!D23+'2024 RCL'!D23</f>
        <v>9702579.3100000005</v>
      </c>
      <c r="E23" s="15">
        <v>5260441.8000000017</v>
      </c>
      <c r="F23" s="15">
        <v>0</v>
      </c>
      <c r="G23" s="16">
        <f t="shared" si="9"/>
        <v>14963021.110000003</v>
      </c>
      <c r="H23" s="15">
        <v>20</v>
      </c>
      <c r="I23" s="15">
        <f>+'2024 LTPL'!I23+'2024 RCL'!I23</f>
        <v>344905.85</v>
      </c>
      <c r="J23" s="30">
        <f t="shared" si="10"/>
        <v>657864.43000000017</v>
      </c>
      <c r="K23" s="15"/>
      <c r="L23" s="16">
        <f t="shared" si="11"/>
        <v>1002770.2800000001</v>
      </c>
      <c r="M23" s="18">
        <f>G23-L23</f>
        <v>13960250.830000004</v>
      </c>
      <c r="O23" s="42">
        <v>47</v>
      </c>
      <c r="P23" s="42" t="s">
        <v>11</v>
      </c>
      <c r="Q23" s="14" t="s">
        <v>22</v>
      </c>
      <c r="R23" s="18">
        <f t="shared" si="3"/>
        <v>9702579.3100000005</v>
      </c>
      <c r="S23" s="32">
        <v>0</v>
      </c>
      <c r="T23" s="18">
        <f t="shared" si="4"/>
        <v>9702579.3100000005</v>
      </c>
      <c r="U23" s="18">
        <f t="shared" si="5"/>
        <v>5260441.8000000017</v>
      </c>
      <c r="V23" s="18">
        <f>'2024 LTPL'!V23+'2024 RCL'!V23</f>
        <v>13157288.600000003</v>
      </c>
      <c r="W23" s="39">
        <f t="shared" si="13"/>
        <v>20</v>
      </c>
      <c r="X23" s="19">
        <f t="shared" si="14"/>
        <v>0.05</v>
      </c>
      <c r="Y23" s="18">
        <f>+'2024 LTPL'!J23+'2024 RCL'!Y23</f>
        <v>657864.43000000017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+'2024 LTPL'!D24+'2024 RCL'!D24</f>
        <v>405125665.64999998</v>
      </c>
      <c r="E24" s="15">
        <v>212089711.11000004</v>
      </c>
      <c r="F24" s="15">
        <v>0</v>
      </c>
      <c r="G24" s="16">
        <f t="shared" si="9"/>
        <v>617215376.75999999</v>
      </c>
      <c r="H24" s="15">
        <v>60</v>
      </c>
      <c r="I24" s="15">
        <f>+'2024 LTPL'!I24+'2024 RCL'!I24</f>
        <v>5908200.5500000007</v>
      </c>
      <c r="J24" s="30">
        <f t="shared" si="10"/>
        <v>9114587.1899999976</v>
      </c>
      <c r="K24" s="15"/>
      <c r="L24" s="16">
        <f t="shared" si="11"/>
        <v>15022787.739999998</v>
      </c>
      <c r="M24" s="18">
        <f t="shared" ref="M24:M46" si="15">G24-L24</f>
        <v>602192589.01999998</v>
      </c>
      <c r="O24" s="42">
        <v>47</v>
      </c>
      <c r="P24" s="42">
        <v>1720</v>
      </c>
      <c r="Q24" s="14" t="s">
        <v>16</v>
      </c>
      <c r="R24" s="18">
        <f t="shared" si="3"/>
        <v>405125665.64999998</v>
      </c>
      <c r="S24" s="32">
        <v>0</v>
      </c>
      <c r="T24" s="18">
        <f t="shared" si="4"/>
        <v>405125665.64999998</v>
      </c>
      <c r="U24" s="18">
        <f t="shared" si="5"/>
        <v>212089711.11000004</v>
      </c>
      <c r="V24" s="18">
        <f>'2024 LTPL'!V24+'2024 RCL'!V24</f>
        <v>546875231.39999986</v>
      </c>
      <c r="W24" s="39">
        <f t="shared" si="13"/>
        <v>60</v>
      </c>
      <c r="X24" s="19">
        <f t="shared" si="14"/>
        <v>1.6666666666666666E-2</v>
      </c>
      <c r="Y24" s="18">
        <f>+'2024 LTPL'!J24+'2024 RCL'!Y24</f>
        <v>9114587.1899999976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+'2024 LTPL'!D25+'2024 RCL'!D25</f>
        <v>55110720.809999987</v>
      </c>
      <c r="E25" s="15">
        <v>1833253.75</v>
      </c>
      <c r="F25" s="15">
        <v>-33712.109999999404</v>
      </c>
      <c r="G25" s="16">
        <f t="shared" si="9"/>
        <v>56910262.449999988</v>
      </c>
      <c r="H25" s="15">
        <v>45</v>
      </c>
      <c r="I25" s="15">
        <f>+'2024 LTPL'!I25+'2024 RCL'!I25</f>
        <v>2712119.34</v>
      </c>
      <c r="J25" s="30">
        <f t="shared" si="10"/>
        <v>1248080.43</v>
      </c>
      <c r="K25" s="15">
        <v>-4307.66</v>
      </c>
      <c r="L25" s="16">
        <f>SUM(I25:K25)</f>
        <v>3955892.1099999994</v>
      </c>
      <c r="M25" s="18">
        <f t="shared" si="15"/>
        <v>52954370.339999989</v>
      </c>
      <c r="O25" s="42">
        <v>47</v>
      </c>
      <c r="P25" s="42">
        <v>1725</v>
      </c>
      <c r="Q25" s="14" t="s">
        <v>17</v>
      </c>
      <c r="R25" s="18">
        <f t="shared" si="3"/>
        <v>55110720.809999987</v>
      </c>
      <c r="S25" s="32">
        <v>0</v>
      </c>
      <c r="T25" s="18">
        <f t="shared" si="4"/>
        <v>55110720.809999987</v>
      </c>
      <c r="U25" s="18">
        <f t="shared" si="5"/>
        <v>1833253.75</v>
      </c>
      <c r="V25" s="18">
        <f>'2024 LTPL'!V25+'2024 RCL'!V25</f>
        <v>56163619.349999994</v>
      </c>
      <c r="W25" s="39">
        <f t="shared" si="13"/>
        <v>45</v>
      </c>
      <c r="X25" s="19">
        <f t="shared" si="14"/>
        <v>2.2222222222222223E-2</v>
      </c>
      <c r="Y25" s="18">
        <f>+'2024 LTPL'!J25+'2024 RCL'!Y25</f>
        <v>1248080.43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+'2024 LTPL'!D26+'2024 RCL'!D26</f>
        <v>494618420.49000007</v>
      </c>
      <c r="E26" s="15">
        <v>215822134.7299999</v>
      </c>
      <c r="F26" s="15">
        <v>0</v>
      </c>
      <c r="G26" s="16">
        <f t="shared" si="9"/>
        <v>710440555.22000003</v>
      </c>
      <c r="H26" s="15">
        <v>45</v>
      </c>
      <c r="I26" s="15">
        <f>+'2024 LTPL'!I26+'2024 RCL'!I26</f>
        <v>11863335.749999998</v>
      </c>
      <c r="J26" s="30">
        <f t="shared" si="10"/>
        <v>14366406.239999995</v>
      </c>
      <c r="K26" s="15"/>
      <c r="L26" s="16">
        <f t="shared" si="11"/>
        <v>26229741.989999995</v>
      </c>
      <c r="M26" s="18">
        <f t="shared" si="15"/>
        <v>684210813.23000002</v>
      </c>
      <c r="O26" s="42">
        <v>47</v>
      </c>
      <c r="P26" s="42">
        <v>1730</v>
      </c>
      <c r="Q26" s="14" t="s">
        <v>18</v>
      </c>
      <c r="R26" s="18">
        <f t="shared" si="3"/>
        <v>494618420.49000007</v>
      </c>
      <c r="S26" s="32">
        <v>0</v>
      </c>
      <c r="T26" s="18">
        <f t="shared" si="4"/>
        <v>494618420.49000007</v>
      </c>
      <c r="U26" s="18">
        <f t="shared" si="5"/>
        <v>215822134.7299999</v>
      </c>
      <c r="V26" s="18">
        <f>'2024 LTPL'!V26+'2024 RCL'!V26</f>
        <v>646488280.79999971</v>
      </c>
      <c r="W26" s="39">
        <f t="shared" si="13"/>
        <v>45</v>
      </c>
      <c r="X26" s="19">
        <f t="shared" si="14"/>
        <v>2.2222222222222223E-2</v>
      </c>
      <c r="Y26" s="18">
        <f>+'2024 LTPL'!J26+'2024 RCL'!Y26</f>
        <v>14366406.239999995</v>
      </c>
    </row>
    <row r="27" spans="1:25" x14ac:dyDescent="0.2">
      <c r="A27" s="42"/>
      <c r="B27" s="42">
        <v>1735</v>
      </c>
      <c r="C27" s="14" t="s">
        <v>19</v>
      </c>
      <c r="D27" s="15">
        <f>+'2024 LTPL'!D27+'2024 RCL'!D27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+'2024 LTPL'!I27+'2024 RCL'!I27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'2024 LTPL'!V27+'2024 RCL'!V27</f>
        <v>0</v>
      </c>
      <c r="W27" s="39">
        <f t="shared" si="13"/>
        <v>0</v>
      </c>
      <c r="X27" s="19" t="str">
        <f t="shared" si="14"/>
        <v>-</v>
      </c>
      <c r="Y27" s="18">
        <f>'2024 LTPL'!Y27+'2024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f>+'2024 LTPL'!D28+'2024 RCL'!D28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'2024 LTPL'!V28+'2024 RCL'!V28</f>
        <v>0</v>
      </c>
      <c r="W28" s="39">
        <f t="shared" si="13"/>
        <v>0</v>
      </c>
      <c r="X28" s="19" t="str">
        <f t="shared" si="14"/>
        <v>-</v>
      </c>
      <c r="Y28" s="18">
        <f>'2024 LTPL'!Y28+'2024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f>+'2024 LTPL'!D29+'2024 RCL'!D29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'2024 LTPL'!V29+'2024 RCL'!V29</f>
        <v>0</v>
      </c>
      <c r="W29" s="39">
        <f t="shared" si="13"/>
        <v>0</v>
      </c>
      <c r="X29" s="19" t="str">
        <f t="shared" si="14"/>
        <v>-</v>
      </c>
      <c r="Y29" s="18">
        <f>'2024 LTPL'!Y29+'2024 RCL'!Y29</f>
        <v>0</v>
      </c>
    </row>
    <row r="30" spans="1:25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90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+'2022 Combined'!L31</f>
        <v>0</v>
      </c>
      <c r="J31" s="30">
        <f>Y31</f>
        <v>0</v>
      </c>
      <c r="K31" s="15"/>
      <c r="L31" s="16">
        <f t="shared" ref="L31:L46" si="17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5" si="18">H31</f>
        <v>0</v>
      </c>
      <c r="X31" s="19" t="str">
        <f t="shared" ref="X31:X46" si="19">IF(H31=0,"-",1/W31)</f>
        <v>-</v>
      </c>
      <c r="Y31" s="18"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396998.98000000004</v>
      </c>
      <c r="F32" s="15">
        <v>0</v>
      </c>
      <c r="G32" s="16">
        <f t="shared" si="16"/>
        <v>396998.98000000004</v>
      </c>
      <c r="H32" s="15">
        <v>50</v>
      </c>
      <c r="I32" s="15">
        <f>+'2023 Combined'!L32</f>
        <v>0</v>
      </c>
      <c r="J32" s="30">
        <f t="shared" ref="J32:J46" si="20">Y32</f>
        <v>0</v>
      </c>
      <c r="K32" s="15"/>
      <c r="L32" s="16">
        <f>SUM(I32:K32)</f>
        <v>0</v>
      </c>
      <c r="M32" s="18">
        <f t="shared" si="15"/>
        <v>396998.98000000004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396998.98000000004</v>
      </c>
      <c r="V32" s="18">
        <f t="shared" ref="V32:V38" si="21">+Y32/X32</f>
        <v>0</v>
      </c>
      <c r="W32" s="39">
        <f t="shared" si="18"/>
        <v>50</v>
      </c>
      <c r="X32" s="19">
        <f t="shared" si="19"/>
        <v>0.02</v>
      </c>
      <c r="Y32" s="18">
        <v>0</v>
      </c>
    </row>
    <row r="33" spans="1:25" x14ac:dyDescent="0.2">
      <c r="A33" s="42"/>
      <c r="B33" s="42">
        <v>1910</v>
      </c>
      <c r="C33" s="14" t="s">
        <v>26</v>
      </c>
      <c r="D33" s="15"/>
      <c r="E33" s="15">
        <v>228961.33</v>
      </c>
      <c r="F33" s="15"/>
      <c r="G33" s="16">
        <f t="shared" si="16"/>
        <v>228961.33</v>
      </c>
      <c r="H33" s="15">
        <v>5</v>
      </c>
      <c r="I33" s="15">
        <f>+'2023 Combined'!L33</f>
        <v>0</v>
      </c>
      <c r="J33" s="30">
        <f t="shared" ref="J33" si="22">Y33</f>
        <v>0</v>
      </c>
      <c r="K33" s="15"/>
      <c r="L33" s="16">
        <f>SUM(I33:K33)</f>
        <v>0</v>
      </c>
      <c r="M33" s="18">
        <f t="shared" ref="M33" si="23">G33-L33</f>
        <v>228961.33</v>
      </c>
      <c r="O33" s="42">
        <v>10.1</v>
      </c>
      <c r="P33" s="42">
        <v>1908</v>
      </c>
      <c r="Q33" s="14" t="s">
        <v>15</v>
      </c>
      <c r="R33" s="18">
        <f t="shared" ref="R33" si="24">D33</f>
        <v>0</v>
      </c>
      <c r="S33" s="32">
        <v>0</v>
      </c>
      <c r="T33" s="18">
        <v>0</v>
      </c>
      <c r="U33" s="18">
        <f t="shared" ref="U33" si="25">E33</f>
        <v>228961.33</v>
      </c>
      <c r="V33" s="18">
        <f t="shared" si="21"/>
        <v>0</v>
      </c>
      <c r="W33" s="39">
        <f t="shared" si="18"/>
        <v>5</v>
      </c>
      <c r="X33" s="19">
        <f t="shared" si="19"/>
        <v>0.2</v>
      </c>
      <c r="Y33" s="18">
        <v>0</v>
      </c>
    </row>
    <row r="34" spans="1:25" x14ac:dyDescent="0.2">
      <c r="A34" s="42">
        <v>8</v>
      </c>
      <c r="B34" s="42">
        <v>1915</v>
      </c>
      <c r="C34" s="14" t="s">
        <v>32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15">
        <v>10</v>
      </c>
      <c r="I34" s="15">
        <f>+'2023 Combined'!L34</f>
        <v>0</v>
      </c>
      <c r="J34" s="30">
        <f t="shared" si="20"/>
        <v>0</v>
      </c>
      <c r="K34" s="15"/>
      <c r="L34" s="16">
        <f t="shared" si="17"/>
        <v>0</v>
      </c>
      <c r="M34" s="18">
        <f t="shared" si="15"/>
        <v>0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8"/>
        <v>10</v>
      </c>
      <c r="X34" s="19">
        <f t="shared" si="19"/>
        <v>0.1</v>
      </c>
      <c r="Y34" s="18">
        <v>0</v>
      </c>
    </row>
    <row r="35" spans="1:25" x14ac:dyDescent="0.2">
      <c r="A35" s="42"/>
      <c r="B35" s="42">
        <v>1920</v>
      </c>
      <c r="C35" s="14" t="s">
        <v>33</v>
      </c>
      <c r="D35" s="15">
        <v>0</v>
      </c>
      <c r="E35" s="15">
        <v>356556.18</v>
      </c>
      <c r="F35" s="15">
        <v>0</v>
      </c>
      <c r="G35" s="16">
        <f t="shared" si="16"/>
        <v>356556.18</v>
      </c>
      <c r="H35" s="15">
        <v>5</v>
      </c>
      <c r="I35" s="15">
        <f>+'2022 Combined'!L35</f>
        <v>0</v>
      </c>
      <c r="J35" s="30">
        <f t="shared" si="20"/>
        <v>12764.68</v>
      </c>
      <c r="K35" s="15"/>
      <c r="L35" s="16">
        <f t="shared" si="17"/>
        <v>12764.68</v>
      </c>
      <c r="M35" s="18">
        <f t="shared" si="15"/>
        <v>343791.5</v>
      </c>
      <c r="O35" s="42"/>
      <c r="P35" s="42">
        <v>1920</v>
      </c>
      <c r="Q35" s="14" t="s">
        <v>33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356556.18</v>
      </c>
      <c r="V35" s="18">
        <f t="shared" si="21"/>
        <v>63823.4</v>
      </c>
      <c r="W35" s="39">
        <f t="shared" si="18"/>
        <v>5</v>
      </c>
      <c r="X35" s="19">
        <f t="shared" si="19"/>
        <v>0.2</v>
      </c>
      <c r="Y35" s="18">
        <v>12764.68</v>
      </c>
    </row>
    <row r="36" spans="1:25" x14ac:dyDescent="0.2">
      <c r="A36" s="42">
        <v>10.1</v>
      </c>
      <c r="B36" s="42">
        <v>1930</v>
      </c>
      <c r="C36" s="14" t="s">
        <v>34</v>
      </c>
      <c r="D36" s="15"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+'2023 Combined'!L36</f>
        <v>46617.427000000011</v>
      </c>
      <c r="J36" s="30">
        <f t="shared" si="20"/>
        <v>31078.349999999991</v>
      </c>
      <c r="K36" s="15"/>
      <c r="L36" s="16">
        <f t="shared" si="17"/>
        <v>77695.777000000002</v>
      </c>
      <c r="M36" s="18">
        <f t="shared" si="15"/>
        <v>77695.953000000009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18">
        <f t="shared" si="21"/>
        <v>155391.74999999994</v>
      </c>
      <c r="W36" s="39">
        <f t="shared" si="18"/>
        <v>5</v>
      </c>
      <c r="X36" s="19">
        <f t="shared" si="19"/>
        <v>0.2</v>
      </c>
      <c r="Y36" s="18">
        <v>31078.349999999991</v>
      </c>
    </row>
    <row r="37" spans="1:25" x14ac:dyDescent="0.2">
      <c r="A37" s="42"/>
      <c r="B37" s="42">
        <v>1935</v>
      </c>
      <c r="C37" s="14" t="s">
        <v>35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20"/>
        <v>0</v>
      </c>
      <c r="K37" s="15"/>
      <c r="L37" s="16">
        <f t="shared" si="17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v>0</v>
      </c>
      <c r="W37" s="39">
        <f t="shared" si="18"/>
        <v>0</v>
      </c>
      <c r="X37" s="19" t="str">
        <f t="shared" si="19"/>
        <v>-</v>
      </c>
      <c r="Y37" s="18">
        <v>0</v>
      </c>
    </row>
    <row r="38" spans="1:25" x14ac:dyDescent="0.2">
      <c r="A38" s="42"/>
      <c r="B38" s="42">
        <v>1940</v>
      </c>
      <c r="C38" s="14" t="s">
        <v>39</v>
      </c>
      <c r="D38" s="15">
        <v>0</v>
      </c>
      <c r="E38" s="15">
        <v>168500</v>
      </c>
      <c r="F38" s="15">
        <v>0</v>
      </c>
      <c r="G38" s="16">
        <f t="shared" si="16"/>
        <v>168500</v>
      </c>
      <c r="H38" s="15">
        <v>10</v>
      </c>
      <c r="I38" s="15">
        <f>+'2022 Combined'!L38</f>
        <v>0</v>
      </c>
      <c r="J38" s="30">
        <f t="shared" si="20"/>
        <v>0</v>
      </c>
      <c r="K38" s="15"/>
      <c r="L38" s="16">
        <f t="shared" si="17"/>
        <v>0</v>
      </c>
      <c r="M38" s="18">
        <f t="shared" si="15"/>
        <v>168500</v>
      </c>
      <c r="O38" s="42"/>
      <c r="P38" s="42">
        <v>1940</v>
      </c>
      <c r="Q38" s="14" t="s">
        <v>39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168500</v>
      </c>
      <c r="V38" s="18">
        <f t="shared" si="21"/>
        <v>0</v>
      </c>
      <c r="W38" s="39">
        <f t="shared" si="18"/>
        <v>10</v>
      </c>
      <c r="X38" s="19">
        <f t="shared" si="19"/>
        <v>0.1</v>
      </c>
      <c r="Y38" s="18">
        <v>0</v>
      </c>
    </row>
    <row r="39" spans="1:25" x14ac:dyDescent="0.2">
      <c r="A39" s="42"/>
      <c r="B39" s="42">
        <v>1945</v>
      </c>
      <c r="C39" s="14" t="s">
        <v>40</v>
      </c>
      <c r="D39" s="15">
        <v>0</v>
      </c>
      <c r="E39" s="15">
        <v>8792.5300000000007</v>
      </c>
      <c r="F39" s="15">
        <v>0</v>
      </c>
      <c r="G39" s="16">
        <f t="shared" si="16"/>
        <v>8792.5300000000007</v>
      </c>
      <c r="H39" s="15">
        <v>5</v>
      </c>
      <c r="I39" s="15"/>
      <c r="J39" s="30">
        <f t="shared" si="20"/>
        <v>732.71</v>
      </c>
      <c r="K39" s="15"/>
      <c r="L39" s="16">
        <f t="shared" si="17"/>
        <v>732.71</v>
      </c>
      <c r="M39" s="18">
        <f t="shared" si="15"/>
        <v>8059.8200000000006</v>
      </c>
      <c r="O39" s="42"/>
      <c r="P39" s="42">
        <v>1945</v>
      </c>
      <c r="Q39" s="14" t="s">
        <v>40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8792.5300000000007</v>
      </c>
      <c r="V39" s="18">
        <f t="shared" ref="V39:V46" si="26">T39+U39*8/12</f>
        <v>5861.6866666666674</v>
      </c>
      <c r="W39" s="39">
        <f t="shared" si="18"/>
        <v>5</v>
      </c>
      <c r="X39" s="19">
        <f t="shared" si="19"/>
        <v>0.2</v>
      </c>
      <c r="Y39" s="18">
        <v>732.71</v>
      </c>
    </row>
    <row r="40" spans="1:25" x14ac:dyDescent="0.2">
      <c r="A40" s="42"/>
      <c r="B40" s="42">
        <v>1950</v>
      </c>
      <c r="C40" s="14" t="s">
        <v>41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20"/>
        <v>0</v>
      </c>
      <c r="K40" s="15"/>
      <c r="L40" s="16">
        <f t="shared" si="17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6"/>
        <v>0</v>
      </c>
      <c r="W40" s="39">
        <f t="shared" si="18"/>
        <v>0</v>
      </c>
      <c r="X40" s="19" t="str">
        <f t="shared" si="19"/>
        <v>-</v>
      </c>
      <c r="Y40" s="18">
        <f t="shared" ref="Y40:Y46" si="27">IF(V40=0,0,V40*X40)</f>
        <v>0</v>
      </c>
    </row>
    <row r="41" spans="1:25" x14ac:dyDescent="0.2">
      <c r="A41" s="42"/>
      <c r="B41" s="42">
        <v>1955</v>
      </c>
      <c r="C41" s="14" t="s">
        <v>42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20"/>
        <v>0</v>
      </c>
      <c r="K41" s="15"/>
      <c r="L41" s="16">
        <f t="shared" si="17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6"/>
        <v>0</v>
      </c>
      <c r="W41" s="39">
        <f t="shared" si="18"/>
        <v>0</v>
      </c>
      <c r="X41" s="19" t="str">
        <f t="shared" si="19"/>
        <v>-</v>
      </c>
      <c r="Y41" s="18">
        <f t="shared" si="27"/>
        <v>0</v>
      </c>
    </row>
    <row r="42" spans="1:25" x14ac:dyDescent="0.2">
      <c r="A42" s="42"/>
      <c r="B42" s="42">
        <v>1960</v>
      </c>
      <c r="C42" s="14" t="s">
        <v>43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20"/>
        <v>0</v>
      </c>
      <c r="K42" s="15"/>
      <c r="L42" s="16">
        <f t="shared" si="17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6"/>
        <v>0</v>
      </c>
      <c r="W42" s="39">
        <f t="shared" si="18"/>
        <v>0</v>
      </c>
      <c r="X42" s="19" t="str">
        <f t="shared" si="19"/>
        <v>-</v>
      </c>
      <c r="Y42" s="18">
        <f t="shared" si="27"/>
        <v>0</v>
      </c>
    </row>
    <row r="43" spans="1:25" x14ac:dyDescent="0.2">
      <c r="A43" s="42"/>
      <c r="B43" s="42">
        <v>1980</v>
      </c>
      <c r="C43" s="14" t="s">
        <v>44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20"/>
        <v>0</v>
      </c>
      <c r="K43" s="15"/>
      <c r="L43" s="16">
        <f t="shared" si="17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6"/>
        <v>0</v>
      </c>
      <c r="W43" s="39">
        <f t="shared" si="18"/>
        <v>0</v>
      </c>
      <c r="X43" s="19" t="str">
        <f t="shared" si="19"/>
        <v>-</v>
      </c>
      <c r="Y43" s="18">
        <f t="shared" si="27"/>
        <v>0</v>
      </c>
    </row>
    <row r="44" spans="1:25" x14ac:dyDescent="0.2">
      <c r="A44" s="42"/>
      <c r="B44" s="42">
        <v>1995</v>
      </c>
      <c r="C44" s="14" t="s">
        <v>12</v>
      </c>
      <c r="D44" s="15">
        <v>-55750948.189999998</v>
      </c>
      <c r="E44" s="15">
        <v>-431416858</v>
      </c>
      <c r="F44" s="15">
        <f>-F25</f>
        <v>33712.109999999404</v>
      </c>
      <c r="G44" s="16">
        <f t="shared" si="16"/>
        <v>-487134094.07999998</v>
      </c>
      <c r="H44" s="15" t="s">
        <v>147</v>
      </c>
      <c r="I44" s="15">
        <v>-6012043.9299999997</v>
      </c>
      <c r="J44" s="30">
        <f t="shared" si="20"/>
        <v>-4868434.9720097817</v>
      </c>
      <c r="K44" s="15">
        <f>-K25</f>
        <v>4307.66</v>
      </c>
      <c r="L44" s="16">
        <f>SUM(I44:K44)</f>
        <v>-10876171.242009781</v>
      </c>
      <c r="M44" s="18">
        <f>G44-L44</f>
        <v>-476257922.83799022</v>
      </c>
      <c r="O44" s="42"/>
      <c r="P44" s="42">
        <v>1995</v>
      </c>
      <c r="Q44" s="14" t="s">
        <v>12</v>
      </c>
      <c r="R44" s="18">
        <f t="shared" si="3"/>
        <v>-55750948.189999998</v>
      </c>
      <c r="S44" s="32">
        <v>0</v>
      </c>
      <c r="T44" s="18">
        <f t="shared" si="4"/>
        <v>-55750948.189999998</v>
      </c>
      <c r="U44" s="18">
        <f t="shared" si="5"/>
        <v>-431416858</v>
      </c>
      <c r="V44" s="18">
        <f t="shared" si="26"/>
        <v>-343362186.85666668</v>
      </c>
      <c r="W44" s="39" t="str">
        <f t="shared" si="18"/>
        <v>Note 1</v>
      </c>
      <c r="X44" s="19" t="s">
        <v>147</v>
      </c>
      <c r="Y44" s="18">
        <v>-4868434.9720097817</v>
      </c>
    </row>
    <row r="45" spans="1:25" x14ac:dyDescent="0.2">
      <c r="A45" s="43"/>
      <c r="B45" s="43">
        <v>2440</v>
      </c>
      <c r="C45" s="40" t="s">
        <v>57</v>
      </c>
      <c r="D45" s="15"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20"/>
        <v>0</v>
      </c>
      <c r="K45" s="15"/>
      <c r="L45" s="16">
        <f t="shared" si="17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6"/>
        <v>0</v>
      </c>
      <c r="W45" s="39">
        <f t="shared" si="18"/>
        <v>0</v>
      </c>
      <c r="X45" s="19" t="str">
        <f t="shared" si="19"/>
        <v>-</v>
      </c>
      <c r="Y45" s="18">
        <f t="shared" si="27"/>
        <v>0</v>
      </c>
    </row>
    <row r="46" spans="1:25" hidden="1" x14ac:dyDescent="0.2">
      <c r="A46" s="42"/>
      <c r="B46" s="42"/>
      <c r="C46" s="14"/>
      <c r="D46" s="15">
        <f>+'2023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/>
      <c r="J46" s="30">
        <f t="shared" si="20"/>
        <v>0</v>
      </c>
      <c r="K46" s="15"/>
      <c r="L46" s="16">
        <f t="shared" si="17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26"/>
        <v>0</v>
      </c>
      <c r="W46" s="39">
        <f>H46</f>
        <v>0</v>
      </c>
      <c r="X46" s="19" t="str">
        <f t="shared" si="19"/>
        <v>-</v>
      </c>
      <c r="Y46" s="18">
        <f t="shared" si="27"/>
        <v>0</v>
      </c>
    </row>
    <row r="47" spans="1:25" s="4" customFormat="1" x14ac:dyDescent="0.2">
      <c r="A47" s="44"/>
      <c r="B47" s="44"/>
      <c r="C47" s="20" t="s">
        <v>58</v>
      </c>
      <c r="D47" s="22">
        <f>SUM(D12:D15,D17:D29,D31:D46)</f>
        <v>1177288998.47</v>
      </c>
      <c r="E47" s="22">
        <f>SUM(E12:E15,E17:E29,E31:E46)</f>
        <v>143091758.05999947</v>
      </c>
      <c r="F47" s="22">
        <f>SUM(F12:F15,F17:F29,F31:F46)</f>
        <v>0</v>
      </c>
      <c r="G47" s="22">
        <f>SUM(G12:G15,G17:G29,G31:G46)</f>
        <v>1320380756.5299997</v>
      </c>
      <c r="H47" s="33"/>
      <c r="I47" s="22">
        <f>SUM(I12:I15,I17:I29,I31:I46)</f>
        <v>19870418.846999999</v>
      </c>
      <c r="J47" s="22">
        <f>SUM(J12:J15,J17:J29,J31:J46)</f>
        <v>27987094.647990216</v>
      </c>
      <c r="K47" s="22">
        <f>SUM(K12:K15,K17:K29,K31:K46)</f>
        <v>0</v>
      </c>
      <c r="L47" s="22">
        <f>SUM(L12:L15,L17:L29,L31:L46)</f>
        <v>47857513.494990215</v>
      </c>
      <c r="M47" s="22">
        <f>SUM(M12:M15,M17:M29,M31:M46)</f>
        <v>1272523243.0350094</v>
      </c>
      <c r="N47" s="46"/>
      <c r="O47" s="44"/>
      <c r="P47" s="44"/>
      <c r="Q47" s="20" t="s">
        <v>77</v>
      </c>
      <c r="R47" s="22">
        <f>SUM(R12:R15,R17:R29,R31:R46)</f>
        <v>1177288998.47</v>
      </c>
      <c r="S47" s="22">
        <f>SUM(S12:S15,S17:S29,S31:S46)</f>
        <v>0</v>
      </c>
      <c r="T47" s="22">
        <f>SUM(T12:T15,T17:T29,T31:T46)</f>
        <v>1177288998.47</v>
      </c>
      <c r="U47" s="22">
        <f>SUM(U12:U15,U17:U29,U31:U46)</f>
        <v>143091758.05999947</v>
      </c>
      <c r="V47" s="22">
        <f>SUM(V12:V15,V17:V29,V31:V46)</f>
        <v>1283052417.0999999</v>
      </c>
      <c r="W47" s="24"/>
      <c r="X47" s="24"/>
      <c r="Y47" s="22">
        <f>SUM(Y12:Y15,Y17:Y29,Y31:Y45)</f>
        <v>27987094.647990216</v>
      </c>
    </row>
    <row r="48" spans="1:25" x14ac:dyDescent="0.2">
      <c r="A48" s="42"/>
      <c r="B48" s="44">
        <v>2055</v>
      </c>
      <c r="C48" s="20" t="s">
        <v>59</v>
      </c>
      <c r="D48" s="15">
        <f>+'2023 Combined'!G48</f>
        <v>571170661</v>
      </c>
      <c r="E48" s="15">
        <f>-F48-D48</f>
        <v>2178146.039999485</v>
      </c>
      <c r="F48" s="15">
        <v>-573348807.03999949</v>
      </c>
      <c r="G48" s="16">
        <f t="shared" ref="G48:G49" si="28">SUM(D48:F48)</f>
        <v>0</v>
      </c>
      <c r="H48" s="33"/>
      <c r="I48" s="15"/>
      <c r="J48" s="15"/>
      <c r="K48" s="15"/>
      <c r="L48" s="16">
        <f t="shared" ref="L48:L49" si="29">SUM(I48:K48)</f>
        <v>0</v>
      </c>
      <c r="M48" s="14"/>
      <c r="O48" s="76" t="s">
        <v>149</v>
      </c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28"/>
        <v>0</v>
      </c>
      <c r="H49" s="33"/>
      <c r="I49" s="15"/>
      <c r="J49" s="15"/>
      <c r="K49" s="15"/>
      <c r="L49" s="16">
        <f t="shared" si="29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1748459659.47</v>
      </c>
      <c r="E50" s="16">
        <f>SUM(E47:E49)</f>
        <v>145269904.09999895</v>
      </c>
      <c r="F50" s="16">
        <f>SUM(F47:F49)</f>
        <v>-573348807.03999949</v>
      </c>
      <c r="G50" s="16">
        <f>SUM(G47:G49)</f>
        <v>1320380756.5299997</v>
      </c>
      <c r="H50" s="33"/>
      <c r="I50" s="16">
        <f>SUM(I47:I49)</f>
        <v>19870418.846999999</v>
      </c>
      <c r="J50" s="16">
        <f>SUM(J47:J49)</f>
        <v>27987094.647990216</v>
      </c>
      <c r="K50" s="16">
        <f>SUM(K47:K49)</f>
        <v>0</v>
      </c>
      <c r="L50" s="16">
        <f>SUM(L47:L49)</f>
        <v>47857513.494990215</v>
      </c>
      <c r="M50" s="16">
        <f>SUM(M47:M49)</f>
        <v>1272523243.0350094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8" t="s">
        <v>62</v>
      </c>
      <c r="D51" s="88"/>
      <c r="E51" s="88"/>
      <c r="F51" s="88"/>
      <c r="G51" s="88"/>
      <c r="H51" s="88"/>
      <c r="I51" s="88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9" t="s">
        <v>63</v>
      </c>
      <c r="D52" s="89"/>
      <c r="E52" s="89"/>
      <c r="F52" s="89"/>
      <c r="G52" s="89"/>
      <c r="H52" s="89"/>
      <c r="I52" s="89"/>
      <c r="J52" s="16">
        <f>J50+J51</f>
        <v>27987094.647990216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15.95" customHeight="1" x14ac:dyDescent="0.2">
      <c r="A53" s="76" t="s">
        <v>148</v>
      </c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27987094.647990216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A2:M2"/>
    <mergeCell ref="D4:E4"/>
    <mergeCell ref="D7:H7"/>
    <mergeCell ref="D9:G9"/>
    <mergeCell ref="I9:L9"/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Header>&amp;REB-2025-0192</oddHeader>
    <oddFooter>&amp;L&amp;"Times New Roman,Regular"&amp;8 53141182.2</oddFooter>
  </headerFooter>
  <colBreaks count="1" manualBreakCount="1">
    <brk id="8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2021 Combined</vt:lpstr>
      <vt:lpstr>2022 Combined</vt:lpstr>
      <vt:lpstr>2022 LTPL</vt:lpstr>
      <vt:lpstr>2022 RCL</vt:lpstr>
      <vt:lpstr>2023 Combined</vt:lpstr>
      <vt:lpstr>2023 LTPL</vt:lpstr>
      <vt:lpstr>Sheet1</vt:lpstr>
      <vt:lpstr>2023 RCL</vt:lpstr>
      <vt:lpstr>2024 Combined</vt:lpstr>
      <vt:lpstr>2024 LTPL</vt:lpstr>
      <vt:lpstr>2024 RCL</vt:lpstr>
      <vt:lpstr>2025 Combined</vt:lpstr>
      <vt:lpstr>2025 LTPL</vt:lpstr>
      <vt:lpstr>2025 RCL</vt:lpstr>
      <vt:lpstr>2026 Combined</vt:lpstr>
      <vt:lpstr>2026 LTPL</vt:lpstr>
      <vt:lpstr>2026 RCL</vt:lpstr>
      <vt:lpstr>Calcuations, Tables</vt:lpstr>
      <vt:lpstr>'2022 Combined'!Print_Area</vt:lpstr>
      <vt:lpstr>'2022 LTPL'!Print_Area</vt:lpstr>
      <vt:lpstr>'2022 RCL'!Print_Area</vt:lpstr>
      <vt:lpstr>'2023 Combined'!Print_Area</vt:lpstr>
      <vt:lpstr>'2023 LTPL'!Print_Area</vt:lpstr>
      <vt:lpstr>'2023 RCL'!Print_Area</vt:lpstr>
      <vt:lpstr>'2024 Combined'!Print_Area</vt:lpstr>
      <vt:lpstr>'2024 LTPL'!Print_Area</vt:lpstr>
      <vt:lpstr>'2024 RCL'!Print_Area</vt:lpstr>
      <vt:lpstr>'2025 Combined'!Print_Area</vt:lpstr>
      <vt:lpstr>'2025 LTPL'!Print_Area</vt:lpstr>
      <vt:lpstr>'2025 RCL'!Print_Area</vt:lpstr>
      <vt:lpstr>'2026 Combined'!Print_Area</vt:lpstr>
      <vt:lpstr>'2026 LTPL'!Print_Area</vt:lpstr>
      <vt:lpstr>'2026 RCL'!Print_Area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Joséphine Allard</cp:lastModifiedBy>
  <cp:lastPrinted>2025-06-10T20:21:03Z</cp:lastPrinted>
  <dcterms:created xsi:type="dcterms:W3CDTF">2019-11-05T20:13:27Z</dcterms:created>
  <dcterms:modified xsi:type="dcterms:W3CDTF">2025-06-10T20:22:02Z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18</vt:lpwstr>
  </property>
  <property fmtid="{D5CDD505-2E9C-101B-9397-08002B2CF9AE}" pid="6" name="CUS_DocIDString">
    <vt:lpwstr>&amp;"Times New Roman,Regular"&amp;8 53141182.2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53141182.2</vt:lpwstr>
  </property>
</Properties>
</file>