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pcorweb/en-ca/departments/natgas/sites/ON/ONReg/RC_QRAM/IRM/EB-2025-0177 - Aylmer IRM - 202601 Rates/"/>
    </mc:Choice>
  </mc:AlternateContent>
  <xr:revisionPtr revIDLastSave="0" documentId="13_ncr:1_{B39AC6A5-5F91-4A39-8275-BAD3B5B00EDD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Summary" sheetId="24" r:id="rId1"/>
    <sheet name="REDA" sheetId="20" r:id="rId2"/>
    <sheet name="PGTVA" sheetId="3" r:id="rId3"/>
    <sheet name="UFGVA" sheetId="14" r:id="rId4"/>
    <sheet name="Load Forecast" sheetId="19" r:id="rId5"/>
  </sheets>
  <definedNames>
    <definedName name="_MailEndCompose" localSheetId="3">UFGVA!#REF!</definedName>
    <definedName name="_xlnm.Print_Area" localSheetId="2">PGTVA!$A$1:$O$54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9" l="1"/>
  <c r="D46" i="20" l="1"/>
  <c r="J18" i="19"/>
  <c r="I18" i="19"/>
  <c r="H18" i="19"/>
  <c r="G18" i="19"/>
  <c r="F18" i="19"/>
  <c r="D39" i="20" s="1"/>
  <c r="H19" i="19" l="1"/>
  <c r="H39" i="20"/>
  <c r="J19" i="19"/>
  <c r="E46" i="20"/>
  <c r="G19" i="19"/>
  <c r="I19" i="19"/>
  <c r="H46" i="20"/>
  <c r="F19" i="19"/>
  <c r="G39" i="20"/>
  <c r="F46" i="20"/>
  <c r="F39" i="20"/>
  <c r="E39" i="20"/>
  <c r="G46" i="20"/>
  <c r="C39" i="20" l="1"/>
  <c r="C46" i="20"/>
  <c r="O23" i="20"/>
  <c r="E23" i="20"/>
  <c r="F23" i="20"/>
  <c r="G23" i="20"/>
  <c r="H23" i="20"/>
  <c r="I23" i="20"/>
  <c r="J23" i="20"/>
  <c r="K23" i="20"/>
  <c r="L23" i="20"/>
  <c r="M23" i="20"/>
  <c r="N23" i="20"/>
  <c r="D23" i="20"/>
  <c r="D26" i="20" s="1"/>
  <c r="D27" i="20" s="1"/>
  <c r="E25" i="20" s="1"/>
  <c r="I19" i="20"/>
  <c r="D19" i="20"/>
  <c r="D20" i="20" s="1"/>
  <c r="E18" i="20" s="1"/>
  <c r="E15" i="20"/>
  <c r="E19" i="20" s="1"/>
  <c r="F15" i="20"/>
  <c r="F19" i="20" s="1"/>
  <c r="G15" i="20"/>
  <c r="G19" i="20" s="1"/>
  <c r="H15" i="20"/>
  <c r="H19" i="20" s="1"/>
  <c r="I15" i="20"/>
  <c r="J15" i="20"/>
  <c r="J19" i="20" s="1"/>
  <c r="K15" i="20"/>
  <c r="K19" i="20" s="1"/>
  <c r="L15" i="20"/>
  <c r="L19" i="20" s="1"/>
  <c r="M15" i="20"/>
  <c r="M19" i="20" s="1"/>
  <c r="N15" i="20"/>
  <c r="N19" i="20" s="1"/>
  <c r="O15" i="20"/>
  <c r="O19" i="20" s="1"/>
  <c r="D15" i="20"/>
  <c r="A4" i="20"/>
  <c r="A2" i="20"/>
  <c r="A1" i="20"/>
  <c r="E20" i="20" l="1"/>
  <c r="E26" i="20"/>
  <c r="E27" i="20" s="1"/>
  <c r="F25" i="20" s="1"/>
  <c r="F18" i="20"/>
  <c r="F20" i="20" s="1"/>
  <c r="G18" i="20" l="1"/>
  <c r="G20" i="20" s="1"/>
  <c r="F26" i="20"/>
  <c r="F27" i="20" s="1"/>
  <c r="G25" i="20" s="1"/>
  <c r="H18" i="20" l="1"/>
  <c r="H20" i="20" s="1"/>
  <c r="G26" i="20"/>
  <c r="G27" i="20" s="1"/>
  <c r="H25" i="20" s="1"/>
  <c r="H26" i="20" l="1"/>
  <c r="H27" i="20" s="1"/>
  <c r="I25" i="20" s="1"/>
  <c r="I18" i="20"/>
  <c r="I20" i="20" s="1"/>
  <c r="I26" i="20" l="1"/>
  <c r="I27" i="20" s="1"/>
  <c r="J25" i="20" s="1"/>
  <c r="J18" i="20"/>
  <c r="J20" i="20" s="1"/>
  <c r="J26" i="20" l="1"/>
  <c r="J27" i="20" s="1"/>
  <c r="K25" i="20" s="1"/>
  <c r="K18" i="20"/>
  <c r="K20" i="20" s="1"/>
  <c r="L18" i="20" l="1"/>
  <c r="L20" i="20" s="1"/>
  <c r="K26" i="20"/>
  <c r="K27" i="20" s="1"/>
  <c r="L25" i="20" s="1"/>
  <c r="L26" i="20" l="1"/>
  <c r="L27" i="20" s="1"/>
  <c r="M25" i="20" s="1"/>
  <c r="M18" i="20"/>
  <c r="M20" i="20" s="1"/>
  <c r="M26" i="20" l="1"/>
  <c r="M27" i="20" s="1"/>
  <c r="N25" i="20" s="1"/>
  <c r="N18" i="20"/>
  <c r="N20" i="20" s="1"/>
  <c r="O18" i="20" l="1"/>
  <c r="O20" i="20" s="1"/>
  <c r="N26" i="20"/>
  <c r="N27" i="20" s="1"/>
  <c r="O25" i="20" s="1"/>
  <c r="O26" i="20" l="1"/>
  <c r="O27" i="20" s="1"/>
  <c r="P25" i="20" l="1"/>
  <c r="B33" i="20"/>
  <c r="C6" i="24" s="1"/>
  <c r="B32" i="20"/>
  <c r="D32" i="20" l="1"/>
  <c r="B6" i="24"/>
  <c r="B34" i="20"/>
  <c r="B5" i="24" l="1"/>
  <c r="C5" i="24"/>
  <c r="B14" i="14"/>
  <c r="C14" i="14"/>
  <c r="D14" i="14"/>
  <c r="E14" i="14"/>
  <c r="F14" i="14"/>
  <c r="G14" i="14"/>
  <c r="H14" i="14"/>
  <c r="I14" i="14"/>
  <c r="J14" i="14"/>
  <c r="K14" i="14"/>
  <c r="L14" i="14"/>
  <c r="M14" i="14"/>
  <c r="D5" i="24" l="1"/>
  <c r="E5" i="24"/>
  <c r="F5" i="24"/>
  <c r="G5" i="24"/>
  <c r="D6" i="24"/>
  <c r="E6" i="24"/>
  <c r="F6" i="24"/>
  <c r="G3" i="24"/>
  <c r="A4" i="14"/>
  <c r="A2" i="14"/>
  <c r="A1" i="14"/>
  <c r="P23" i="20" l="1"/>
  <c r="P26" i="20" s="1"/>
  <c r="O28" i="3"/>
  <c r="N27" i="14" s="1"/>
  <c r="G6" i="24"/>
  <c r="H6" i="24" s="1"/>
  <c r="H5" i="24"/>
  <c r="C33" i="20" l="1"/>
  <c r="P27" i="20"/>
  <c r="A2" i="19"/>
  <c r="A1" i="19"/>
  <c r="C34" i="20" l="1"/>
  <c r="D34" i="20" s="1"/>
  <c r="J6" i="24" s="1"/>
  <c r="D33" i="20"/>
  <c r="B14" i="19"/>
  <c r="J7" i="19" l="1"/>
  <c r="I7" i="19"/>
  <c r="H7" i="19"/>
  <c r="G7" i="19"/>
  <c r="F7" i="19"/>
  <c r="D44" i="14" l="1"/>
  <c r="D51" i="14"/>
  <c r="D51" i="3"/>
  <c r="G51" i="3"/>
  <c r="G51" i="14"/>
  <c r="G44" i="14"/>
  <c r="E51" i="14"/>
  <c r="E44" i="14"/>
  <c r="E51" i="3"/>
  <c r="F51" i="3"/>
  <c r="F44" i="14"/>
  <c r="F51" i="14"/>
  <c r="H44" i="14"/>
  <c r="H51" i="14"/>
  <c r="H51" i="3"/>
  <c r="E44" i="3"/>
  <c r="F44" i="3"/>
  <c r="D44" i="3"/>
  <c r="G44" i="3"/>
  <c r="H44" i="3"/>
  <c r="E40" i="20" l="1"/>
  <c r="D40" i="20" l="1"/>
  <c r="E47" i="20"/>
  <c r="E41" i="20"/>
  <c r="E49" i="20" s="1"/>
  <c r="E48" i="20" s="1"/>
  <c r="F40" i="20"/>
  <c r="F8" i="19"/>
  <c r="H40" i="20"/>
  <c r="D41" i="20"/>
  <c r="G40" i="20"/>
  <c r="J8" i="19"/>
  <c r="H8" i="19"/>
  <c r="G8" i="19"/>
  <c r="I8" i="19"/>
  <c r="C51" i="14"/>
  <c r="C44" i="14"/>
  <c r="D45" i="14" s="1"/>
  <c r="D49" i="20" l="1"/>
  <c r="D48" i="20" s="1"/>
  <c r="D47" i="20"/>
  <c r="C40" i="20"/>
  <c r="H47" i="20"/>
  <c r="H41" i="20"/>
  <c r="H49" i="20" s="1"/>
  <c r="H48" i="20" s="1"/>
  <c r="F47" i="20"/>
  <c r="F41" i="20"/>
  <c r="F49" i="20" s="1"/>
  <c r="F48" i="20" s="1"/>
  <c r="G47" i="20"/>
  <c r="G41" i="20"/>
  <c r="G49" i="20" s="1"/>
  <c r="G48" i="20" s="1"/>
  <c r="E45" i="14"/>
  <c r="F45" i="14"/>
  <c r="G45" i="14"/>
  <c r="H45" i="14"/>
  <c r="D52" i="14"/>
  <c r="B30" i="14"/>
  <c r="B31" i="14" s="1"/>
  <c r="C29" i="14" s="1"/>
  <c r="G17" i="14"/>
  <c r="G33" i="14" s="1"/>
  <c r="F17" i="14"/>
  <c r="F33" i="14" s="1"/>
  <c r="D17" i="14"/>
  <c r="I17" i="14"/>
  <c r="M17" i="14"/>
  <c r="L17" i="14"/>
  <c r="K17" i="14"/>
  <c r="K33" i="14" s="1"/>
  <c r="J17" i="14"/>
  <c r="E17" i="14"/>
  <c r="C17" i="14"/>
  <c r="B17" i="14"/>
  <c r="C47" i="20" l="1"/>
  <c r="C41" i="20"/>
  <c r="C48" i="20"/>
  <c r="F52" i="14"/>
  <c r="E52" i="14"/>
  <c r="G52" i="14"/>
  <c r="H52" i="14"/>
  <c r="C45" i="14"/>
  <c r="J20" i="14"/>
  <c r="J23" i="14" s="1"/>
  <c r="J33" i="14"/>
  <c r="C33" i="14"/>
  <c r="C20" i="14"/>
  <c r="C23" i="14" s="1"/>
  <c r="B20" i="14"/>
  <c r="B23" i="14" s="1"/>
  <c r="B24" i="14" s="1"/>
  <c r="C22" i="14" s="1"/>
  <c r="B33" i="14"/>
  <c r="D33" i="14"/>
  <c r="D20" i="14"/>
  <c r="D23" i="14" s="1"/>
  <c r="L33" i="14"/>
  <c r="L20" i="14"/>
  <c r="L23" i="14" s="1"/>
  <c r="E20" i="14"/>
  <c r="E23" i="14" s="1"/>
  <c r="E33" i="14"/>
  <c r="M20" i="14"/>
  <c r="M23" i="14" s="1"/>
  <c r="M33" i="14"/>
  <c r="I33" i="14"/>
  <c r="I20" i="14"/>
  <c r="I23" i="14" s="1"/>
  <c r="K20" i="14"/>
  <c r="K23" i="14" s="1"/>
  <c r="G20" i="14"/>
  <c r="G23" i="14" s="1"/>
  <c r="H17" i="14"/>
  <c r="F20" i="14"/>
  <c r="F23" i="14" s="1"/>
  <c r="C52" i="14" l="1"/>
  <c r="H20" i="14"/>
  <c r="H23" i="14" s="1"/>
  <c r="H33" i="14"/>
  <c r="C24" i="14"/>
  <c r="D22" i="14" s="1"/>
  <c r="C30" i="14"/>
  <c r="C31" i="14" s="1"/>
  <c r="D29" i="14" s="1"/>
  <c r="D24" i="14" l="1"/>
  <c r="E22" i="14" s="1"/>
  <c r="D30" i="14"/>
  <c r="D31" i="14" s="1"/>
  <c r="E29" i="14" s="1"/>
  <c r="E24" i="14" l="1"/>
  <c r="F22" i="14" s="1"/>
  <c r="E30" i="14"/>
  <c r="E31" i="14" s="1"/>
  <c r="F29" i="14" s="1"/>
  <c r="F30" i="14" l="1"/>
  <c r="F31" i="14" s="1"/>
  <c r="G29" i="14" s="1"/>
  <c r="F24" i="14"/>
  <c r="G22" i="14" s="1"/>
  <c r="G24" i="14" l="1"/>
  <c r="H22" i="14" s="1"/>
  <c r="G30" i="14"/>
  <c r="G31" i="14" s="1"/>
  <c r="H29" i="14" s="1"/>
  <c r="H30" i="14" l="1"/>
  <c r="H31" i="14" s="1"/>
  <c r="I29" i="14" s="1"/>
  <c r="H24" i="14"/>
  <c r="I22" i="14" s="1"/>
  <c r="I24" i="14" l="1"/>
  <c r="J22" i="14" s="1"/>
  <c r="I30" i="14"/>
  <c r="I31" i="14" s="1"/>
  <c r="J29" i="14" s="1"/>
  <c r="J30" i="14" l="1"/>
  <c r="J31" i="14" s="1"/>
  <c r="K29" i="14" s="1"/>
  <c r="J24" i="14"/>
  <c r="K22" i="14" s="1"/>
  <c r="K24" i="14" l="1"/>
  <c r="L22" i="14" s="1"/>
  <c r="K30" i="14"/>
  <c r="K31" i="14" s="1"/>
  <c r="L29" i="14" s="1"/>
  <c r="L24" i="14" l="1"/>
  <c r="M22" i="14" s="1"/>
  <c r="L30" i="14"/>
  <c r="L31" i="14" s="1"/>
  <c r="M29" i="14" s="1"/>
  <c r="M24" i="14" l="1"/>
  <c r="M30" i="14"/>
  <c r="M31" i="14" s="1"/>
  <c r="N29" i="14" l="1"/>
  <c r="B39" i="14"/>
  <c r="B38" i="14"/>
  <c r="N30" i="14"/>
  <c r="B31" i="3"/>
  <c r="B32" i="3" s="1"/>
  <c r="C30" i="3" s="1"/>
  <c r="M13" i="3"/>
  <c r="M17" i="3" s="1"/>
  <c r="M19" i="3" s="1"/>
  <c r="M21" i="3" s="1"/>
  <c r="M24" i="3" s="1"/>
  <c r="L13" i="3"/>
  <c r="L17" i="3" s="1"/>
  <c r="L19" i="3" s="1"/>
  <c r="L21" i="3" s="1"/>
  <c r="L24" i="3" s="1"/>
  <c r="K13" i="3"/>
  <c r="K17" i="3" s="1"/>
  <c r="K19" i="3" s="1"/>
  <c r="K21" i="3" s="1"/>
  <c r="K24" i="3" s="1"/>
  <c r="J13" i="3"/>
  <c r="J17" i="3" s="1"/>
  <c r="J19" i="3" s="1"/>
  <c r="J21" i="3" s="1"/>
  <c r="J24" i="3" s="1"/>
  <c r="I13" i="3"/>
  <c r="I17" i="3" s="1"/>
  <c r="I19" i="3" s="1"/>
  <c r="I21" i="3" s="1"/>
  <c r="I24" i="3" s="1"/>
  <c r="H13" i="3"/>
  <c r="H17" i="3" s="1"/>
  <c r="H19" i="3" s="1"/>
  <c r="H21" i="3" s="1"/>
  <c r="H24" i="3" s="1"/>
  <c r="G13" i="3"/>
  <c r="G17" i="3" s="1"/>
  <c r="G19" i="3" s="1"/>
  <c r="G21" i="3" s="1"/>
  <c r="G24" i="3" s="1"/>
  <c r="F13" i="3"/>
  <c r="F17" i="3" s="1"/>
  <c r="F19" i="3" s="1"/>
  <c r="F21" i="3" s="1"/>
  <c r="F24" i="3" s="1"/>
  <c r="E13" i="3"/>
  <c r="E17" i="3" s="1"/>
  <c r="E19" i="3" s="1"/>
  <c r="E21" i="3" s="1"/>
  <c r="E24" i="3" s="1"/>
  <c r="D13" i="3"/>
  <c r="D17" i="3" s="1"/>
  <c r="D19" i="3" s="1"/>
  <c r="D21" i="3" s="1"/>
  <c r="D24" i="3" s="1"/>
  <c r="C13" i="3"/>
  <c r="C17" i="3" s="1"/>
  <c r="C19" i="3" s="1"/>
  <c r="C21" i="3" s="1"/>
  <c r="C24" i="3" s="1"/>
  <c r="B13" i="3"/>
  <c r="B17" i="3" s="1"/>
  <c r="B19" i="3" s="1"/>
  <c r="B21" i="3" s="1"/>
  <c r="B24" i="3" s="1"/>
  <c r="B25" i="3" s="1"/>
  <c r="C23" i="3" s="1"/>
  <c r="N31" i="14" l="1"/>
  <c r="C39" i="14"/>
  <c r="C31" i="3"/>
  <c r="C32" i="3" s="1"/>
  <c r="D30" i="3" s="1"/>
  <c r="C25" i="3"/>
  <c r="D23" i="3" s="1"/>
  <c r="D31" i="3" l="1"/>
  <c r="D32" i="3" s="1"/>
  <c r="E30" i="3" s="1"/>
  <c r="D25" i="3"/>
  <c r="E23" i="3" s="1"/>
  <c r="E25" i="3" l="1"/>
  <c r="F23" i="3" s="1"/>
  <c r="E31" i="3"/>
  <c r="E32" i="3" s="1"/>
  <c r="F30" i="3" s="1"/>
  <c r="F31" i="3" l="1"/>
  <c r="F32" i="3" s="1"/>
  <c r="G30" i="3" s="1"/>
  <c r="F25" i="3"/>
  <c r="G23" i="3" s="1"/>
  <c r="G31" i="3" l="1"/>
  <c r="G32" i="3" s="1"/>
  <c r="H30" i="3" s="1"/>
  <c r="G25" i="3"/>
  <c r="H23" i="3" s="1"/>
  <c r="H31" i="3" l="1"/>
  <c r="H32" i="3" s="1"/>
  <c r="I30" i="3" s="1"/>
  <c r="H25" i="3"/>
  <c r="I23" i="3" s="1"/>
  <c r="I31" i="3" l="1"/>
  <c r="I32" i="3" s="1"/>
  <c r="J30" i="3" s="1"/>
  <c r="I25" i="3"/>
  <c r="J23" i="3" s="1"/>
  <c r="J31" i="3" l="1"/>
  <c r="J32" i="3" s="1"/>
  <c r="K30" i="3" s="1"/>
  <c r="J25" i="3"/>
  <c r="K23" i="3" s="1"/>
  <c r="K31" i="3" l="1"/>
  <c r="K32" i="3" s="1"/>
  <c r="L30" i="3" s="1"/>
  <c r="K25" i="3"/>
  <c r="L23" i="3" s="1"/>
  <c r="L25" i="3" l="1"/>
  <c r="M23" i="3" s="1"/>
  <c r="L31" i="3"/>
  <c r="L32" i="3" s="1"/>
  <c r="M30" i="3" s="1"/>
  <c r="D38" i="14" l="1"/>
  <c r="M31" i="3"/>
  <c r="M32" i="3" s="1"/>
  <c r="C4" i="24" s="1"/>
  <c r="C7" i="24" s="1"/>
  <c r="M25" i="3"/>
  <c r="B4" i="24" s="1"/>
  <c r="B7" i="24" l="1"/>
  <c r="D4" i="24"/>
  <c r="D7" i="24" s="1"/>
  <c r="E4" i="24"/>
  <c r="E7" i="24" s="1"/>
  <c r="F4" i="24"/>
  <c r="F7" i="24" s="1"/>
  <c r="G4" i="24"/>
  <c r="G7" i="24" s="1"/>
  <c r="B40" i="14"/>
  <c r="O31" i="3"/>
  <c r="C38" i="3" s="1"/>
  <c r="C39" i="3" s="1"/>
  <c r="B37" i="3"/>
  <c r="O30" i="3"/>
  <c r="B38" i="3"/>
  <c r="H4" i="24" l="1"/>
  <c r="H7" i="24"/>
  <c r="O32" i="3"/>
  <c r="D38" i="3"/>
  <c r="B39" i="3"/>
  <c r="D39" i="3" s="1"/>
  <c r="J4" i="24" s="1"/>
  <c r="C51" i="3"/>
  <c r="C40" i="14" l="1"/>
  <c r="D40" i="14" s="1"/>
  <c r="J5" i="24" s="1"/>
  <c r="D39" i="14"/>
  <c r="C44" i="3"/>
  <c r="D46" i="14" l="1"/>
  <c r="G46" i="14"/>
  <c r="G54" i="14" s="1"/>
  <c r="G53" i="14" s="1"/>
  <c r="F46" i="14"/>
  <c r="F54" i="14" s="1"/>
  <c r="F53" i="14" s="1"/>
  <c r="E46" i="14"/>
  <c r="E54" i="14" s="1"/>
  <c r="E53" i="14" s="1"/>
  <c r="H46" i="14"/>
  <c r="H54" i="14" s="1"/>
  <c r="H53" i="14" s="1"/>
  <c r="H45" i="3"/>
  <c r="F45" i="3"/>
  <c r="G45" i="3"/>
  <c r="E45" i="3"/>
  <c r="D45" i="3"/>
  <c r="C46" i="14" l="1"/>
  <c r="D54" i="14"/>
  <c r="D53" i="14" s="1"/>
  <c r="C53" i="14" s="1"/>
  <c r="E52" i="3"/>
  <c r="E46" i="3"/>
  <c r="F52" i="3"/>
  <c r="F46" i="3"/>
  <c r="D52" i="3"/>
  <c r="C52" i="3" s="1"/>
  <c r="D46" i="3"/>
  <c r="G52" i="3"/>
  <c r="G46" i="3"/>
  <c r="H52" i="3"/>
  <c r="H46" i="3"/>
  <c r="C45" i="3"/>
  <c r="D54" i="3" l="1"/>
  <c r="E54" i="3"/>
  <c r="G54" i="3"/>
  <c r="F54" i="3"/>
  <c r="H54" i="3"/>
  <c r="F53" i="3" l="1"/>
  <c r="G53" i="3"/>
  <c r="H53" i="3"/>
  <c r="E53" i="3"/>
  <c r="D53" i="3"/>
  <c r="C46" i="3"/>
  <c r="C53" i="3" l="1"/>
  <c r="D37" i="3"/>
</calcChain>
</file>

<file path=xl/sharedStrings.xml><?xml version="1.0" encoding="utf-8"?>
<sst xmlns="http://schemas.openxmlformats.org/spreadsheetml/2006/main" count="272" uniqueCount="126">
  <si>
    <t>EPCOR Natural Gas Limited Partnership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</si>
  <si>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</si>
  <si>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</si>
  <si>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</si>
  <si>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</si>
  <si>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</si>
  <si>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</si>
  <si>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</si>
  <si>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</si>
  <si>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</si>
  <si>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</si>
  <si>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</si>
  <si>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</si>
  <si>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Opening PGTVA Balance</t>
  </si>
  <si>
    <t>Change in PGTVA Balance</t>
  </si>
  <si>
    <t>Closing PGTVA Balance</t>
  </si>
  <si>
    <t>Monthly Interest Rate</t>
  </si>
  <si>
    <t>Opening Interest Balance</t>
  </si>
  <si>
    <t>Monthly Interest Calculation</t>
  </si>
  <si>
    <t>Closing Interest Balance</t>
  </si>
  <si>
    <t>Total</t>
  </si>
  <si>
    <t>Unit</t>
  </si>
  <si>
    <t>Row Sum</t>
  </si>
  <si>
    <t>Rate 2</t>
  </si>
  <si>
    <t>Rate 3</t>
  </si>
  <si>
    <t>Rate 4</t>
  </si>
  <si>
    <t>Rate 5</t>
  </si>
  <si>
    <t>%</t>
  </si>
  <si>
    <t>$</t>
  </si>
  <si>
    <t>Allocation</t>
  </si>
  <si>
    <t>Rate Rider</t>
  </si>
  <si>
    <t>Volume</t>
  </si>
  <si>
    <t>Rate 1</t>
  </si>
  <si>
    <t>JAN-DEC</t>
  </si>
  <si>
    <r>
      <t>000's m</t>
    </r>
    <r>
      <rPr>
        <vertAlign val="superscript"/>
        <sz val="11"/>
        <rFont val="Arial"/>
        <family val="2"/>
      </rPr>
      <t>3</t>
    </r>
  </si>
  <si>
    <r>
      <t>¢/m</t>
    </r>
    <r>
      <rPr>
        <b/>
        <vertAlign val="superscript"/>
        <sz val="11"/>
        <rFont val="Arial"/>
        <family val="2"/>
      </rPr>
      <t>3</t>
    </r>
  </si>
  <si>
    <t>Transportation Cost</t>
  </si>
  <si>
    <t>Enbridge/Union Gas - Delivery</t>
  </si>
  <si>
    <t>Enbridge/Union Gas - Adjustments</t>
  </si>
  <si>
    <t>Enbridge/Union Gas - Demand</t>
  </si>
  <si>
    <t xml:space="preserve">Lagasco - Demand </t>
  </si>
  <si>
    <t>Lagasco - Delivery</t>
  </si>
  <si>
    <t>PGTVA Interest</t>
  </si>
  <si>
    <t>Total Cost (A)</t>
  </si>
  <si>
    <t>Rate Difference (C-D) = (E)</t>
  </si>
  <si>
    <t>Monthly Variance (B x E)</t>
  </si>
  <si>
    <r>
      <t>Volumes Transported (m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) (B)</t>
    </r>
  </si>
  <si>
    <r>
      <t>Average Cost ($/m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) (A/B) = C</t>
    </r>
  </si>
  <si>
    <t>Jan-Dec</t>
  </si>
  <si>
    <t>Purchase Volumes:</t>
  </si>
  <si>
    <t xml:space="preserve">  SA1550 volumes</t>
  </si>
  <si>
    <t xml:space="preserve">  Lagasco Wells</t>
  </si>
  <si>
    <t xml:space="preserve">  Lagasco Lake</t>
  </si>
  <si>
    <t xml:space="preserve">  Walker RNG</t>
  </si>
  <si>
    <t xml:space="preserve">  SA25050 volumes</t>
  </si>
  <si>
    <t>Opening UFG Balance</t>
  </si>
  <si>
    <t>Closing UFG Balance</t>
  </si>
  <si>
    <t>UFG Interest</t>
  </si>
  <si>
    <t>UFG%</t>
  </si>
  <si>
    <t>R1 Residential</t>
  </si>
  <si>
    <t>R1 Industrial</t>
  </si>
  <si>
    <t>R1 Commercial</t>
  </si>
  <si>
    <t>R2 Seasonal</t>
  </si>
  <si>
    <t>R3</t>
  </si>
  <si>
    <t>R4</t>
  </si>
  <si>
    <t>R5</t>
  </si>
  <si>
    <t>R1</t>
  </si>
  <si>
    <t>R2</t>
  </si>
  <si>
    <t>PGTVA Account Balance</t>
  </si>
  <si>
    <t>Principal</t>
  </si>
  <si>
    <t>Carrying Charges</t>
  </si>
  <si>
    <t>2024 Balance</t>
  </si>
  <si>
    <t>UFGVA Account Balance</t>
  </si>
  <si>
    <t>Billing &amp; Allocation Determinants</t>
  </si>
  <si>
    <t>Continuity Schedule</t>
  </si>
  <si>
    <t>EB-2025-0177</t>
  </si>
  <si>
    <r>
      <t>Purchased Gas Transportation Variance Account</t>
    </r>
    <r>
      <rPr>
        <b/>
        <i/>
        <sz val="11"/>
        <rFont val="Arial"/>
        <family val="2"/>
      </rPr>
      <t xml:space="preserve"> (PGTVA)</t>
    </r>
  </si>
  <si>
    <r>
      <t xml:space="preserve">Unaccounted For Gas Variance Account  </t>
    </r>
    <r>
      <rPr>
        <b/>
        <i/>
        <sz val="11"/>
        <rFont val="Arial"/>
        <family val="2"/>
      </rPr>
      <t>(UFGVA)</t>
    </r>
  </si>
  <si>
    <r>
      <t xml:space="preserve">Regulatory Expense Deferral Account </t>
    </r>
    <r>
      <rPr>
        <b/>
        <i/>
        <sz val="11"/>
        <rFont val="Arial"/>
        <family val="2"/>
      </rPr>
      <t>(REDA)</t>
    </r>
  </si>
  <si>
    <t>Q1</t>
  </si>
  <si>
    <t>Q2</t>
  </si>
  <si>
    <t>Q3</t>
  </si>
  <si>
    <t>Q4</t>
  </si>
  <si>
    <t>2025 Carrying Charges</t>
  </si>
  <si>
    <t>PGTVA</t>
  </si>
  <si>
    <t>UFGVA</t>
  </si>
  <si>
    <t>REDA</t>
  </si>
  <si>
    <t>Check</t>
  </si>
  <si>
    <t>2025 Balance</t>
  </si>
  <si>
    <t xml:space="preserve">  Clearbeach Resources Inc.</t>
  </si>
  <si>
    <t>Reference Price - 2024 (EB-2018-0336) (D)</t>
  </si>
  <si>
    <t>Opening REDA Balance</t>
  </si>
  <si>
    <t>Change in REDA Balance</t>
  </si>
  <si>
    <t>Closing REDA Balance</t>
  </si>
  <si>
    <t>REDA Interest</t>
  </si>
  <si>
    <t>REDA Account Balance</t>
  </si>
  <si>
    <t>REDA Costs Since Jan 1, 2024</t>
  </si>
  <si>
    <t>Demand Side Management (DSM)</t>
  </si>
  <si>
    <t>Vendor</t>
  </si>
  <si>
    <t>Invoice #</t>
  </si>
  <si>
    <t xml:space="preserve">EB-2015-0245  (DSM Evaluation Process of Program Results) </t>
  </si>
  <si>
    <t>Ontario Energy Board</t>
  </si>
  <si>
    <t>CA2324Q3002</t>
  </si>
  <si>
    <t>CA2324Q3065</t>
  </si>
  <si>
    <t>CA2324Q4002</t>
  </si>
  <si>
    <t>CA2425Q1002</t>
  </si>
  <si>
    <t>CA242510002</t>
  </si>
  <si>
    <t>CA242511002</t>
  </si>
  <si>
    <t>Actual Volumes - 2024 Weather Normalized</t>
  </si>
  <si>
    <t>2024 Actual</t>
  </si>
  <si>
    <t>PGTVA Account Balance Allocation (Based on 2024 Actual Weather Normalized Volumes)</t>
  </si>
  <si>
    <t>PGTVA Account Balance Recovery (Based on 2024 Weather Normalized Volumes)</t>
  </si>
  <si>
    <t>UFGVA Account Balance Allocation (Based on 2024 Actual Weather Normalized Volumes)</t>
  </si>
  <si>
    <t>UFGVA Account Balance Recovery (Based on 2024 Weather Normalized Volumes)</t>
  </si>
  <si>
    <r>
      <t>Total Purchases (</t>
    </r>
    <r>
      <rPr>
        <b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)</t>
    </r>
  </si>
  <si>
    <r>
      <t>Calendarized billing volume (</t>
    </r>
    <r>
      <rPr>
        <b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)</t>
    </r>
  </si>
  <si>
    <r>
      <t xml:space="preserve">Volume difference (A - B = </t>
    </r>
    <r>
      <rPr>
        <b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)</t>
    </r>
  </si>
  <si>
    <r>
      <t>PGCVA Reference price (per OEB Decisions) (</t>
    </r>
    <r>
      <rPr>
        <b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>)</t>
    </r>
  </si>
  <si>
    <r>
      <t xml:space="preserve">Unit Difference (C * D = 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)</t>
    </r>
  </si>
  <si>
    <r>
      <t>Change in UFG Balance (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)</t>
    </r>
  </si>
  <si>
    <t>REDA Account Balance Allocation (Based on 2024 Average Customer Counts)</t>
  </si>
  <si>
    <t>Customer Counts</t>
  </si>
  <si>
    <t>#</t>
  </si>
  <si>
    <t>Actual Customer Counts - 2024</t>
  </si>
  <si>
    <t>$/month</t>
  </si>
  <si>
    <t>REDA Account Balance Recovery (Based on 2024 Average Customer 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</si>
</sst>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* #,##0_-;\-* #,##0_-;_-* &quot;-&quot;??_-;_-@_-"/>
    <numFmt numFmtId="168" formatCode="_-&quot;$&quot;* #,##0.000000_-;\-&quot;$&quot;* #,##0.000000_-;_-&quot;$&quot;* &quot;-&quot;??_-;_-@_-"/>
    <numFmt numFmtId="169" formatCode="#,##0.0000_);\(#,##0.0000\)"/>
    <numFmt numFmtId="170" formatCode="0.000000"/>
    <numFmt numFmtId="171" formatCode="_(* #,##0.0000_);_(* \(#,##0.0000\);_(* &quot;-&quot;??_);_(@_)"/>
    <numFmt numFmtId="172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b/>
      <sz val="11"/>
      <color theme="0"/>
      <name val="Arial"/>
      <family val="2"/>
    </font>
    <font>
      <b/>
      <i/>
      <sz val="11"/>
      <name val="Arial"/>
      <family val="2"/>
    </font>
    <font>
      <sz val="11"/>
      <color rgb="FF001D35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</cellStyleXfs>
  <cellXfs count="131">
    <xf numFmtId="0" fontId="0" fillId="0" borderId="0" xfId="0"/>
    <xf numFmtId="0" fontId="0" fillId="0" borderId="4" xfId="0" applyBorder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8" fontId="5" fillId="0" borderId="4" xfId="3" applyNumberFormat="1" applyFont="1" applyBorder="1"/>
    <xf numFmtId="5" fontId="5" fillId="0" borderId="4" xfId="4" applyNumberFormat="1" applyFont="1" applyBorder="1"/>
    <xf numFmtId="5" fontId="10" fillId="0" borderId="4" xfId="4" applyNumberFormat="1" applyFont="1" applyBorder="1" applyProtection="1">
      <protection locked="0"/>
    </xf>
    <xf numFmtId="5" fontId="9" fillId="0" borderId="4" xfId="4" applyNumberFormat="1" applyFont="1" applyBorder="1"/>
    <xf numFmtId="0" fontId="10" fillId="0" borderId="4" xfId="0" applyFont="1" applyBorder="1" applyAlignment="1">
      <alignment horizontal="left" indent="1"/>
    </xf>
    <xf numFmtId="165" fontId="5" fillId="0" borderId="4" xfId="4" applyFont="1" applyBorder="1"/>
    <xf numFmtId="0" fontId="5" fillId="0" borderId="4" xfId="0" applyFont="1" applyBorder="1"/>
    <xf numFmtId="5" fontId="9" fillId="0" borderId="5" xfId="4" applyNumberFormat="1" applyFont="1" applyBorder="1"/>
    <xf numFmtId="0" fontId="9" fillId="0" borderId="0" xfId="8" applyFont="1"/>
    <xf numFmtId="0" fontId="5" fillId="0" borderId="0" xfId="8" applyFont="1"/>
    <xf numFmtId="0" fontId="8" fillId="0" borderId="6" xfId="8" applyFont="1" applyBorder="1" applyAlignment="1">
      <alignment horizontal="center" vertical="center" wrapText="1"/>
    </xf>
    <xf numFmtId="10" fontId="5" fillId="0" borderId="0" xfId="8" applyNumberFormat="1" applyFont="1"/>
    <xf numFmtId="0" fontId="10" fillId="0" borderId="4" xfId="8" applyFont="1" applyBorder="1" applyAlignment="1">
      <alignment horizontal="left" vertical="center" wrapText="1"/>
    </xf>
    <xf numFmtId="0" fontId="10" fillId="0" borderId="4" xfId="8" applyFont="1" applyBorder="1" applyAlignment="1">
      <alignment horizontal="center" vertical="center" wrapText="1"/>
    </xf>
    <xf numFmtId="37" fontId="10" fillId="0" borderId="4" xfId="4" applyNumberFormat="1" applyFont="1" applyBorder="1" applyAlignment="1">
      <alignment horizontal="center" vertical="center" wrapText="1"/>
    </xf>
    <xf numFmtId="164" fontId="10" fillId="0" borderId="4" xfId="4" applyNumberFormat="1" applyFont="1" applyBorder="1" applyAlignment="1">
      <alignment horizontal="center" vertical="center" wrapText="1"/>
    </xf>
    <xf numFmtId="9" fontId="10" fillId="0" borderId="4" xfId="2" applyFont="1" applyBorder="1" applyAlignment="1">
      <alignment horizontal="center" vertical="center" wrapText="1"/>
    </xf>
    <xf numFmtId="165" fontId="5" fillId="0" borderId="0" xfId="4" applyFont="1"/>
    <xf numFmtId="0" fontId="8" fillId="0" borderId="5" xfId="8" applyFont="1" applyBorder="1" applyAlignment="1">
      <alignment horizontal="left"/>
    </xf>
    <xf numFmtId="0" fontId="8" fillId="0" borderId="5" xfId="8" applyFont="1" applyBorder="1" applyAlignment="1">
      <alignment horizontal="center" vertical="center"/>
    </xf>
    <xf numFmtId="5" fontId="8" fillId="0" borderId="5" xfId="4" applyNumberFormat="1" applyFont="1" applyBorder="1" applyAlignment="1">
      <alignment horizontal="center" vertical="center" wrapText="1"/>
    </xf>
    <xf numFmtId="9" fontId="10" fillId="0" borderId="4" xfId="9" applyFont="1" applyBorder="1" applyAlignment="1">
      <alignment horizontal="center" vertical="center" wrapText="1"/>
    </xf>
    <xf numFmtId="0" fontId="8" fillId="0" borderId="4" xfId="8" applyFont="1" applyBorder="1" applyAlignment="1">
      <alignment horizontal="left"/>
    </xf>
    <xf numFmtId="0" fontId="8" fillId="0" borderId="4" xfId="8" applyFont="1" applyBorder="1" applyAlignment="1">
      <alignment horizontal="center" vertical="center"/>
    </xf>
    <xf numFmtId="5" fontId="8" fillId="0" borderId="4" xfId="4" applyNumberFormat="1" applyFont="1" applyBorder="1" applyAlignment="1">
      <alignment horizontal="center" vertical="center" wrapText="1"/>
    </xf>
    <xf numFmtId="169" fontId="8" fillId="0" borderId="5" xfId="8" applyNumberFormat="1" applyFont="1" applyBorder="1" applyAlignment="1">
      <alignment horizontal="center"/>
    </xf>
    <xf numFmtId="5" fontId="9" fillId="0" borderId="0" xfId="4" applyNumberFormat="1" applyFont="1" applyBorder="1"/>
    <xf numFmtId="41" fontId="10" fillId="0" borderId="4" xfId="0" applyNumberFormat="1" applyFont="1" applyBorder="1" applyAlignment="1">
      <alignment horizontal="left" indent="1"/>
    </xf>
    <xf numFmtId="5" fontId="13" fillId="0" borderId="4" xfId="4" applyNumberFormat="1" applyFont="1" applyBorder="1"/>
    <xf numFmtId="37" fontId="5" fillId="0" borderId="4" xfId="4" applyNumberFormat="1" applyFont="1" applyBorder="1"/>
    <xf numFmtId="170" fontId="10" fillId="0" borderId="4" xfId="2" applyNumberFormat="1" applyFont="1" applyBorder="1"/>
    <xf numFmtId="170" fontId="5" fillId="0" borderId="4" xfId="4" applyNumberFormat="1" applyFont="1" applyBorder="1"/>
    <xf numFmtId="170" fontId="14" fillId="0" borderId="4" xfId="2" applyNumberFormat="1" applyFont="1" applyBorder="1"/>
    <xf numFmtId="5" fontId="4" fillId="0" borderId="4" xfId="4" applyNumberFormat="1" applyFont="1" applyBorder="1"/>
    <xf numFmtId="0" fontId="10" fillId="0" borderId="5" xfId="0" applyFont="1" applyBorder="1" applyAlignment="1">
      <alignment horizontal="left"/>
    </xf>
    <xf numFmtId="10" fontId="4" fillId="0" borderId="4" xfId="2" applyNumberFormat="1" applyFont="1" applyBorder="1"/>
    <xf numFmtId="41" fontId="5" fillId="0" borderId="4" xfId="0" applyNumberFormat="1" applyFont="1" applyBorder="1"/>
    <xf numFmtId="167" fontId="5" fillId="0" borderId="4" xfId="4" applyNumberFormat="1" applyFont="1" applyFill="1" applyBorder="1"/>
    <xf numFmtId="41" fontId="10" fillId="0" borderId="4" xfId="0" applyNumberFormat="1" applyFont="1" applyBorder="1"/>
    <xf numFmtId="0" fontId="3" fillId="0" borderId="0" xfId="0" applyFont="1"/>
    <xf numFmtId="10" fontId="3" fillId="0" borderId="0" xfId="2" applyNumberFormat="1" applyFont="1"/>
    <xf numFmtId="43" fontId="3" fillId="0" borderId="0" xfId="1" applyFont="1"/>
    <xf numFmtId="0" fontId="3" fillId="0" borderId="3" xfId="0" applyFont="1" applyBorder="1"/>
    <xf numFmtId="0" fontId="3" fillId="0" borderId="4" xfId="0" applyFont="1" applyBorder="1"/>
    <xf numFmtId="0" fontId="8" fillId="0" borderId="4" xfId="0" applyFont="1" applyBorder="1" applyAlignment="1">
      <alignment horizontal="left"/>
    </xf>
    <xf numFmtId="164" fontId="3" fillId="0" borderId="4" xfId="1" applyNumberFormat="1" applyFont="1" applyFill="1" applyBorder="1"/>
    <xf numFmtId="164" fontId="3" fillId="0" borderId="5" xfId="1" applyNumberFormat="1" applyFont="1" applyFill="1" applyBorder="1"/>
    <xf numFmtId="164" fontId="3" fillId="0" borderId="6" xfId="1" applyNumberFormat="1" applyFont="1" applyFill="1" applyBorder="1"/>
    <xf numFmtId="171" fontId="3" fillId="0" borderId="4" xfId="1" applyNumberFormat="1" applyFont="1" applyFill="1" applyBorder="1"/>
    <xf numFmtId="0" fontId="9" fillId="0" borderId="4" xfId="0" applyFont="1" applyBorder="1" applyAlignment="1">
      <alignment horizontal="left"/>
    </xf>
    <xf numFmtId="165" fontId="10" fillId="0" borderId="4" xfId="4" applyFont="1" applyFill="1" applyBorder="1" applyProtection="1">
      <protection locked="0"/>
    </xf>
    <xf numFmtId="0" fontId="3" fillId="0" borderId="5" xfId="0" applyFont="1" applyBorder="1"/>
    <xf numFmtId="9" fontId="3" fillId="0" borderId="5" xfId="2" applyFont="1" applyFill="1" applyBorder="1"/>
    <xf numFmtId="0" fontId="2" fillId="0" borderId="0" xfId="0" applyFont="1"/>
    <xf numFmtId="0" fontId="9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9" fillId="0" borderId="0" xfId="0" applyFont="1"/>
    <xf numFmtId="0" fontId="8" fillId="0" borderId="0" xfId="8" applyFont="1"/>
    <xf numFmtId="0" fontId="10" fillId="0" borderId="0" xfId="8" applyFont="1"/>
    <xf numFmtId="0" fontId="15" fillId="0" borderId="7" xfId="10" applyFont="1" applyBorder="1" applyAlignment="1">
      <alignment horizontal="center" vertical="center"/>
    </xf>
    <xf numFmtId="3" fontId="8" fillId="0" borderId="6" xfId="10" applyNumberFormat="1" applyFont="1" applyBorder="1" applyAlignment="1">
      <alignment horizontal="center" vertical="center"/>
    </xf>
    <xf numFmtId="0" fontId="8" fillId="0" borderId="2" xfId="8" applyFont="1" applyBorder="1" applyAlignment="1">
      <alignment horizontal="left"/>
    </xf>
    <xf numFmtId="3" fontId="10" fillId="0" borderId="4" xfId="1" applyNumberFormat="1" applyFont="1" applyFill="1" applyBorder="1" applyAlignment="1">
      <alignment horizontal="center"/>
    </xf>
    <xf numFmtId="0" fontId="8" fillId="0" borderId="1" xfId="8" applyFont="1" applyBorder="1" applyAlignment="1">
      <alignment horizontal="left"/>
    </xf>
    <xf numFmtId="3" fontId="10" fillId="0" borderId="4" xfId="8" applyNumberFormat="1" applyFont="1" applyBorder="1" applyAlignment="1">
      <alignment horizontal="center"/>
    </xf>
    <xf numFmtId="0" fontId="8" fillId="0" borderId="7" xfId="8" applyFont="1" applyBorder="1" applyAlignment="1">
      <alignment horizontal="left"/>
    </xf>
    <xf numFmtId="3" fontId="8" fillId="0" borderId="6" xfId="8" applyNumberFormat="1" applyFont="1" applyBorder="1" applyAlignment="1">
      <alignment horizontal="center"/>
    </xf>
    <xf numFmtId="9" fontId="2" fillId="0" borderId="6" xfId="2" applyFont="1" applyFill="1" applyBorder="1" applyAlignment="1">
      <alignment horizontal="center"/>
    </xf>
    <xf numFmtId="0" fontId="10" fillId="0" borderId="3" xfId="8" applyFont="1" applyBorder="1" applyAlignment="1">
      <alignment horizontal="left" vertical="center" wrapText="1"/>
    </xf>
    <xf numFmtId="5" fontId="10" fillId="0" borderId="3" xfId="8" applyNumberFormat="1" applyFont="1" applyBorder="1" applyAlignment="1">
      <alignment horizontal="center" vertical="center" wrapText="1"/>
    </xf>
    <xf numFmtId="5" fontId="10" fillId="0" borderId="5" xfId="8" applyNumberFormat="1" applyFont="1" applyBorder="1" applyAlignment="1">
      <alignment horizontal="center" vertical="center" wrapText="1"/>
    </xf>
    <xf numFmtId="0" fontId="8" fillId="0" borderId="0" xfId="8" applyFont="1" applyAlignment="1">
      <alignment horizontal="left"/>
    </xf>
    <xf numFmtId="5" fontId="10" fillId="0" borderId="0" xfId="8" applyNumberFormat="1" applyFont="1" applyAlignment="1">
      <alignment horizontal="center" vertical="center" wrapText="1"/>
    </xf>
    <xf numFmtId="5" fontId="14" fillId="0" borderId="4" xfId="8" applyNumberFormat="1" applyFont="1" applyBorder="1" applyAlignment="1">
      <alignment horizontal="center" vertical="center" wrapText="1"/>
    </xf>
    <xf numFmtId="5" fontId="8" fillId="0" borderId="4" xfId="5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5" fontId="1" fillId="0" borderId="4" xfId="0" applyNumberFormat="1" applyFont="1" applyBorder="1" applyAlignment="1">
      <alignment horizontal="center"/>
    </xf>
    <xf numFmtId="0" fontId="17" fillId="0" borderId="4" xfId="0" applyFont="1" applyBorder="1"/>
    <xf numFmtId="0" fontId="1" fillId="0" borderId="4" xfId="0" applyFont="1" applyBorder="1"/>
    <xf numFmtId="5" fontId="9" fillId="0" borderId="6" xfId="0" applyNumberFormat="1" applyFont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5" fontId="19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0" borderId="6" xfId="0" applyFont="1" applyBorder="1"/>
    <xf numFmtId="5" fontId="3" fillId="0" borderId="4" xfId="1" applyNumberFormat="1" applyFont="1" applyFill="1" applyBorder="1"/>
    <xf numFmtId="5" fontId="3" fillId="0" borderId="6" xfId="1" applyNumberFormat="1" applyFont="1" applyFill="1" applyBorder="1"/>
    <xf numFmtId="5" fontId="9" fillId="0" borderId="6" xfId="1" applyNumberFormat="1" applyFont="1" applyFill="1" applyBorder="1"/>
    <xf numFmtId="10" fontId="3" fillId="0" borderId="4" xfId="2" applyNumberFormat="1" applyFont="1" applyFill="1" applyBorder="1" applyAlignment="1">
      <alignment horizontal="center"/>
    </xf>
    <xf numFmtId="5" fontId="3" fillId="0" borderId="5" xfId="1" applyNumberFormat="1" applyFont="1" applyFill="1" applyBorder="1"/>
    <xf numFmtId="5" fontId="9" fillId="0" borderId="5" xfId="1" applyNumberFormat="1" applyFont="1" applyFill="1" applyBorder="1"/>
    <xf numFmtId="5" fontId="13" fillId="0" borderId="4" xfId="1" applyNumberFormat="1" applyFont="1" applyFill="1" applyBorder="1"/>
    <xf numFmtId="0" fontId="10" fillId="0" borderId="4" xfId="0" applyFont="1" applyBorder="1" applyAlignment="1">
      <alignment horizontal="center"/>
    </xf>
    <xf numFmtId="41" fontId="10" fillId="0" borderId="4" xfId="0" applyNumberFormat="1" applyFont="1" applyBorder="1" applyAlignment="1">
      <alignment horizontal="center"/>
    </xf>
    <xf numFmtId="0" fontId="9" fillId="0" borderId="4" xfId="0" applyFont="1" applyBorder="1"/>
    <xf numFmtId="0" fontId="20" fillId="0" borderId="0" xfId="0" applyFont="1"/>
    <xf numFmtId="5" fontId="1" fillId="0" borderId="4" xfId="0" applyNumberFormat="1" applyFont="1" applyBorder="1"/>
    <xf numFmtId="5" fontId="10" fillId="0" borderId="5" xfId="4" applyNumberFormat="1" applyFont="1" applyBorder="1" applyProtection="1">
      <protection locked="0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 applyProtection="1">
      <alignment horizontal="left" indent="2"/>
      <protection locked="0"/>
    </xf>
    <xf numFmtId="0" fontId="1" fillId="0" borderId="4" xfId="0" applyFont="1" applyBorder="1" applyAlignment="1" applyProtection="1">
      <alignment horizontal="left" indent="1"/>
      <protection locked="0"/>
    </xf>
    <xf numFmtId="172" fontId="2" fillId="0" borderId="6" xfId="2" applyNumberFormat="1" applyFont="1" applyFill="1" applyBorder="1" applyAlignment="1">
      <alignment horizontal="center"/>
    </xf>
    <xf numFmtId="39" fontId="8" fillId="0" borderId="5" xfId="8" applyNumberFormat="1" applyFont="1" applyBorder="1" applyAlignment="1">
      <alignment horizontal="center"/>
    </xf>
    <xf numFmtId="7" fontId="0" fillId="0" borderId="0" xfId="0" applyNumberFormat="1"/>
    <xf numFmtId="5" fontId="1" fillId="0" borderId="4" xfId="4" applyNumberFormat="1" applyFont="1" applyBorder="1"/>
    <xf numFmtId="37" fontId="10" fillId="0" borderId="3" xfId="4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1">
    <cellStyle name="Comma" xfId="1" builtinId="3"/>
    <cellStyle name="Comma 2" xfId="4" xr:uid="{00000000-0005-0000-0000-000001000000}"/>
    <cellStyle name="Comma 2 2" xfId="5" xr:uid="{00000000-0005-0000-0000-000002000000}"/>
    <cellStyle name="Comma 3" xfId="6" xr:uid="{00000000-0005-0000-0000-000003000000}"/>
    <cellStyle name="Currency 2" xfId="3" xr:uid="{00000000-0005-0000-0000-000004000000}"/>
    <cellStyle name="Normal" xfId="0" builtinId="0"/>
    <cellStyle name="Normal 2" xfId="8" xr:uid="{00000000-0005-0000-0000-000006000000}"/>
    <cellStyle name="Normal 2 2 2 2 2" xfId="10" xr:uid="{00000000-0005-0000-0000-000007000000}"/>
    <cellStyle name="Percent" xfId="2" builtinId="5"/>
    <cellStyle name="Percent 2" xfId="9" xr:uid="{00000000-0005-0000-0000-000009000000}"/>
    <cellStyle name="Percent 3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C0B8-238C-447E-A13D-72E209DF4A5C}">
  <dimension ref="A1:J7"/>
  <sheetViews>
    <sheetView showGridLines="0" tabSelected="1" workbookViewId="0">
      <selection activeCell="O7" sqref="O7"/>
    </sheetView>
  </sheetViews>
  <sheetFormatPr defaultColWidth="11.7109375" defaultRowHeight="14.25" x14ac:dyDescent="0.2"/>
  <cols>
    <col min="1" max="1" width="11.7109375" style="83"/>
    <col min="2" max="8" width="11.7109375" style="84"/>
    <col min="9" max="16384" width="11.7109375" style="83"/>
  </cols>
  <sheetData>
    <row r="1" spans="1:10" ht="15" x14ac:dyDescent="0.25">
      <c r="A1" s="123"/>
      <c r="B1" s="126">
        <v>2024</v>
      </c>
      <c r="C1" s="127"/>
      <c r="D1" s="126" t="s">
        <v>83</v>
      </c>
      <c r="E1" s="128"/>
      <c r="F1" s="128"/>
      <c r="G1" s="127"/>
      <c r="H1" s="87"/>
    </row>
    <row r="2" spans="1:10" s="86" customFormat="1" ht="28.5" customHeight="1" x14ac:dyDescent="0.25">
      <c r="A2" s="124"/>
      <c r="B2" s="121" t="s">
        <v>69</v>
      </c>
      <c r="C2" s="129" t="s">
        <v>70</v>
      </c>
      <c r="D2" s="88" t="s">
        <v>79</v>
      </c>
      <c r="E2" s="88" t="s">
        <v>80</v>
      </c>
      <c r="F2" s="88" t="s">
        <v>81</v>
      </c>
      <c r="G2" s="88" t="s">
        <v>82</v>
      </c>
      <c r="H2" s="121" t="s">
        <v>20</v>
      </c>
      <c r="J2" s="94" t="s">
        <v>87</v>
      </c>
    </row>
    <row r="3" spans="1:10" s="85" customFormat="1" x14ac:dyDescent="0.25">
      <c r="A3" s="125"/>
      <c r="B3" s="122"/>
      <c r="C3" s="130"/>
      <c r="D3" s="89">
        <v>3.6400000000000002E-2</v>
      </c>
      <c r="E3" s="89">
        <v>3.1600000000000003E-2</v>
      </c>
      <c r="F3" s="89">
        <v>2.9100000000000001E-2</v>
      </c>
      <c r="G3" s="89">
        <f>F3</f>
        <v>2.9100000000000001E-2</v>
      </c>
      <c r="H3" s="122"/>
      <c r="J3" s="95"/>
    </row>
    <row r="4" spans="1:10" x14ac:dyDescent="0.2">
      <c r="A4" s="91" t="s">
        <v>84</v>
      </c>
      <c r="B4" s="90">
        <f>PGTVA!M25</f>
        <v>102408.90764624061</v>
      </c>
      <c r="C4" s="90">
        <f>PGTVA!M32</f>
        <v>2512.9230771147363</v>
      </c>
      <c r="D4" s="90">
        <f>$B4*D$3/4</f>
        <v>931.92105958078957</v>
      </c>
      <c r="E4" s="90">
        <f t="shared" ref="E4:G6" si="0">$B4*E$3/4</f>
        <v>809.03037040530091</v>
      </c>
      <c r="F4" s="90">
        <f t="shared" si="0"/>
        <v>745.02480312640046</v>
      </c>
      <c r="G4" s="90">
        <f t="shared" si="0"/>
        <v>745.02480312640046</v>
      </c>
      <c r="H4" s="90">
        <f>SUM(B4:G4)</f>
        <v>108152.83175959426</v>
      </c>
      <c r="J4" s="96">
        <f>H4-PGTVA!D39</f>
        <v>0</v>
      </c>
    </row>
    <row r="5" spans="1:10" x14ac:dyDescent="0.2">
      <c r="A5" s="92" t="s">
        <v>85</v>
      </c>
      <c r="B5" s="90">
        <f>UFGVA!B38</f>
        <v>133113.3791260327</v>
      </c>
      <c r="C5" s="90">
        <f>UFGVA!B39</f>
        <v>5173.6424587439051</v>
      </c>
      <c r="D5" s="90">
        <f t="shared" ref="D5:D6" si="1">$B5*D$3/4</f>
        <v>1211.3317500468977</v>
      </c>
      <c r="E5" s="90">
        <f t="shared" si="0"/>
        <v>1051.5956950956584</v>
      </c>
      <c r="F5" s="90">
        <f t="shared" si="0"/>
        <v>968.39983314188794</v>
      </c>
      <c r="G5" s="90">
        <f t="shared" si="0"/>
        <v>968.39983314188794</v>
      </c>
      <c r="H5" s="90">
        <f t="shared" ref="H5:H7" si="2">SUM(B5:G5)</f>
        <v>142486.74869620294</v>
      </c>
      <c r="J5" s="96">
        <f>H5-UFGVA!D40</f>
        <v>0</v>
      </c>
    </row>
    <row r="6" spans="1:10" x14ac:dyDescent="0.2">
      <c r="A6" s="92" t="s">
        <v>86</v>
      </c>
      <c r="B6" s="90">
        <f>REDA!B32</f>
        <v>6957.13</v>
      </c>
      <c r="C6" s="90">
        <f>REDA!B33</f>
        <v>181.01424033333336</v>
      </c>
      <c r="D6" s="90">
        <f t="shared" si="1"/>
        <v>63.309883000000006</v>
      </c>
      <c r="E6" s="90">
        <f t="shared" si="0"/>
        <v>54.961327000000004</v>
      </c>
      <c r="F6" s="90">
        <f t="shared" si="0"/>
        <v>50.61312075</v>
      </c>
      <c r="G6" s="90">
        <f t="shared" si="0"/>
        <v>50.61312075</v>
      </c>
      <c r="H6" s="90">
        <f t="shared" si="2"/>
        <v>7357.6416918333334</v>
      </c>
      <c r="J6" s="96">
        <f>H6-REDA!D34</f>
        <v>0</v>
      </c>
    </row>
    <row r="7" spans="1:10" s="64" customFormat="1" ht="15" x14ac:dyDescent="0.25">
      <c r="A7" s="98" t="s">
        <v>20</v>
      </c>
      <c r="B7" s="93">
        <f t="shared" ref="B7:G7" si="3">SUM(B4:B6)</f>
        <v>242479.41677227331</v>
      </c>
      <c r="C7" s="93">
        <f t="shared" si="3"/>
        <v>7867.5797761919739</v>
      </c>
      <c r="D7" s="93">
        <f t="shared" si="3"/>
        <v>2206.5626926276873</v>
      </c>
      <c r="E7" s="93">
        <f t="shared" si="3"/>
        <v>1915.5873925009591</v>
      </c>
      <c r="F7" s="93">
        <f t="shared" si="3"/>
        <v>1764.0377570182884</v>
      </c>
      <c r="G7" s="93">
        <f t="shared" si="3"/>
        <v>1764.0377570182884</v>
      </c>
      <c r="H7" s="93">
        <f t="shared" si="2"/>
        <v>257997.2221476305</v>
      </c>
      <c r="J7" s="97"/>
    </row>
  </sheetData>
  <sheetProtection sheet="1" objects="1" scenarios="1"/>
  <mergeCells count="6">
    <mergeCell ref="H2:H3"/>
    <mergeCell ref="A1:A3"/>
    <mergeCell ref="B1:C1"/>
    <mergeCell ref="D1:G1"/>
    <mergeCell ref="B2:B3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75E2-75D6-4938-BA18-87A456CCC449}">
  <sheetPr>
    <pageSetUpPr fitToPage="1"/>
  </sheetPr>
  <dimension ref="A1:P51"/>
  <sheetViews>
    <sheetView showGridLines="0" topLeftCell="A16" zoomScale="80" zoomScaleNormal="80" workbookViewId="0">
      <selection activeCell="N43" sqref="N43"/>
    </sheetView>
  </sheetViews>
  <sheetFormatPr defaultRowHeight="15" x14ac:dyDescent="0.25"/>
  <cols>
    <col min="1" max="1" width="41.140625" customWidth="1"/>
    <col min="2" max="2" width="24.140625" bestFit="1" customWidth="1"/>
    <col min="3" max="3" width="12.85546875" customWidth="1"/>
    <col min="4" max="8" width="10.85546875" bestFit="1" customWidth="1"/>
    <col min="9" max="9" width="9.5703125" bestFit="1" customWidth="1"/>
    <col min="10" max="10" width="10.28515625" bestFit="1" customWidth="1"/>
    <col min="11" max="15" width="10.85546875" bestFit="1" customWidth="1"/>
    <col min="16" max="16" width="10.28515625" bestFit="1" customWidth="1"/>
  </cols>
  <sheetData>
    <row r="1" spans="1:16" x14ac:dyDescent="0.25">
      <c r="A1" s="2" t="str">
        <f>PGTVA!A1</f>
        <v>EPCOR Natural Gas Limited Partnership</v>
      </c>
      <c r="B1" s="2"/>
      <c r="C1" s="2"/>
    </row>
    <row r="2" spans="1:16" x14ac:dyDescent="0.25">
      <c r="A2" s="2" t="str">
        <f>PGTVA!A2</f>
        <v>EB-2025-0177</v>
      </c>
      <c r="B2" s="2"/>
      <c r="C2" s="2"/>
    </row>
    <row r="3" spans="1:16" x14ac:dyDescent="0.25">
      <c r="A3" s="2" t="s">
        <v>78</v>
      </c>
      <c r="B3" s="2"/>
      <c r="C3" s="2"/>
    </row>
    <row r="4" spans="1:16" x14ac:dyDescent="0.25">
      <c r="A4" s="2" t="str">
        <f>PGTVA!A4</f>
        <v>Continuity Schedule</v>
      </c>
      <c r="B4" s="2"/>
      <c r="C4" s="2"/>
    </row>
    <row r="5" spans="1:16" x14ac:dyDescent="0.25">
      <c r="A5" s="3"/>
      <c r="B5" s="3"/>
      <c r="C5" s="3"/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2024</v>
      </c>
      <c r="O5" s="4">
        <v>2024</v>
      </c>
      <c r="P5" s="4">
        <v>2025</v>
      </c>
    </row>
    <row r="6" spans="1:16" x14ac:dyDescent="0.25">
      <c r="A6" s="5"/>
      <c r="B6" s="5"/>
      <c r="C6" s="5"/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6" t="s">
        <v>11</v>
      </c>
      <c r="O6" s="6" t="s">
        <v>12</v>
      </c>
      <c r="P6" s="6" t="s">
        <v>33</v>
      </c>
    </row>
    <row r="7" spans="1:16" x14ac:dyDescent="0.25">
      <c r="A7" s="7" t="s">
        <v>96</v>
      </c>
      <c r="B7" s="106"/>
      <c r="C7" s="106"/>
      <c r="D7" s="44"/>
      <c r="E7" s="44"/>
      <c r="F7" s="44"/>
      <c r="G7" s="44"/>
      <c r="H7" s="45"/>
      <c r="I7" s="45"/>
      <c r="J7" s="46"/>
      <c r="K7" s="45"/>
      <c r="L7" s="45"/>
      <c r="M7" s="45"/>
      <c r="N7" s="45"/>
      <c r="O7" s="45"/>
      <c r="P7" s="45"/>
    </row>
    <row r="8" spans="1:16" x14ac:dyDescent="0.25">
      <c r="A8" s="7" t="s">
        <v>97</v>
      </c>
      <c r="B8" s="106" t="s">
        <v>98</v>
      </c>
      <c r="C8" s="106" t="s">
        <v>99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8"/>
    </row>
    <row r="9" spans="1:16" x14ac:dyDescent="0.25">
      <c r="A9" s="7" t="s">
        <v>100</v>
      </c>
      <c r="B9" s="106" t="s">
        <v>101</v>
      </c>
      <c r="C9" s="106" t="s">
        <v>102</v>
      </c>
      <c r="D9" s="9"/>
      <c r="E9" s="9">
        <v>174.55</v>
      </c>
      <c r="F9" s="9"/>
      <c r="G9" s="9"/>
      <c r="H9" s="9"/>
      <c r="I9" s="9"/>
      <c r="J9" s="9"/>
      <c r="K9" s="9"/>
      <c r="L9" s="9"/>
      <c r="M9" s="9"/>
      <c r="N9" s="9"/>
      <c r="O9" s="9"/>
      <c r="P9" s="8"/>
    </row>
    <row r="10" spans="1:16" x14ac:dyDescent="0.25">
      <c r="A10" s="7" t="s">
        <v>100</v>
      </c>
      <c r="B10" s="106" t="s">
        <v>101</v>
      </c>
      <c r="C10" s="106" t="s">
        <v>103</v>
      </c>
      <c r="D10" s="9">
        <v>1294.4100000000001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8"/>
    </row>
    <row r="11" spans="1:16" x14ac:dyDescent="0.25">
      <c r="A11" s="7" t="s">
        <v>100</v>
      </c>
      <c r="B11" s="107" t="s">
        <v>101</v>
      </c>
      <c r="C11" s="107" t="s">
        <v>104</v>
      </c>
      <c r="D11" s="9">
        <v>1068.49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</row>
    <row r="12" spans="1:16" x14ac:dyDescent="0.25">
      <c r="A12" s="7" t="s">
        <v>100</v>
      </c>
      <c r="B12" s="107" t="s">
        <v>101</v>
      </c>
      <c r="C12" s="107" t="s">
        <v>105</v>
      </c>
      <c r="D12" s="36"/>
      <c r="E12" s="36"/>
      <c r="F12" s="36"/>
      <c r="G12" s="119">
        <v>1025.43</v>
      </c>
      <c r="H12" s="36"/>
      <c r="I12" s="36"/>
      <c r="J12" s="36"/>
      <c r="K12" s="36"/>
      <c r="L12" s="36"/>
      <c r="M12" s="36"/>
      <c r="N12" s="36"/>
      <c r="O12" s="36"/>
      <c r="P12" s="8"/>
    </row>
    <row r="13" spans="1:16" x14ac:dyDescent="0.25">
      <c r="A13" s="7" t="s">
        <v>100</v>
      </c>
      <c r="B13" s="106" t="s">
        <v>101</v>
      </c>
      <c r="C13" s="106" t="s">
        <v>106</v>
      </c>
      <c r="D13" s="9"/>
      <c r="E13" s="9"/>
      <c r="F13" s="9"/>
      <c r="G13" s="9"/>
      <c r="H13" s="9"/>
      <c r="I13" s="9"/>
      <c r="J13" s="9"/>
      <c r="K13" s="9"/>
      <c r="L13" s="9"/>
      <c r="M13" s="9">
        <v>2702.95</v>
      </c>
      <c r="N13" s="9"/>
      <c r="O13" s="9"/>
      <c r="P13" s="8"/>
    </row>
    <row r="14" spans="1:16" x14ac:dyDescent="0.25">
      <c r="A14" s="7" t="s">
        <v>100</v>
      </c>
      <c r="B14" s="106" t="s">
        <v>101</v>
      </c>
      <c r="C14" s="106" t="s">
        <v>107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>
        <v>515.29999999999995</v>
      </c>
      <c r="P14" s="8"/>
    </row>
    <row r="15" spans="1:16" s="109" customFormat="1" x14ac:dyDescent="0.25">
      <c r="A15" s="52" t="s">
        <v>20</v>
      </c>
      <c r="B15" s="52"/>
      <c r="C15" s="52"/>
      <c r="D15" s="110">
        <f>SUM(D9:D14)</f>
        <v>2362.9</v>
      </c>
      <c r="E15" s="110">
        <f t="shared" ref="E15:O15" si="0">SUM(E9:E14)</f>
        <v>174.55</v>
      </c>
      <c r="F15" s="110">
        <f t="shared" si="0"/>
        <v>0</v>
      </c>
      <c r="G15" s="110">
        <f t="shared" si="0"/>
        <v>1025.43</v>
      </c>
      <c r="H15" s="110">
        <f t="shared" si="0"/>
        <v>0</v>
      </c>
      <c r="I15" s="110">
        <f t="shared" si="0"/>
        <v>0</v>
      </c>
      <c r="J15" s="110">
        <f t="shared" si="0"/>
        <v>0</v>
      </c>
      <c r="K15" s="110">
        <f t="shared" si="0"/>
        <v>0</v>
      </c>
      <c r="L15" s="110">
        <f t="shared" si="0"/>
        <v>0</v>
      </c>
      <c r="M15" s="110">
        <f t="shared" si="0"/>
        <v>2702.95</v>
      </c>
      <c r="N15" s="110">
        <f t="shared" si="0"/>
        <v>0</v>
      </c>
      <c r="O15" s="110">
        <f t="shared" si="0"/>
        <v>515.29999999999995</v>
      </c>
      <c r="P15" s="108"/>
    </row>
    <row r="16" spans="1:16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25">
      <c r="A18" s="7" t="s">
        <v>91</v>
      </c>
      <c r="B18" s="7"/>
      <c r="C18" s="7"/>
      <c r="D18" s="41">
        <v>176</v>
      </c>
      <c r="E18" s="41">
        <f>D20</f>
        <v>2538.9</v>
      </c>
      <c r="F18" s="41">
        <f t="shared" ref="F18:O18" si="1">E20</f>
        <v>2713.4500000000003</v>
      </c>
      <c r="G18" s="41">
        <f t="shared" si="1"/>
        <v>2713.4500000000003</v>
      </c>
      <c r="H18" s="41">
        <f t="shared" si="1"/>
        <v>3738.88</v>
      </c>
      <c r="I18" s="41">
        <f t="shared" si="1"/>
        <v>3738.88</v>
      </c>
      <c r="J18" s="41">
        <f t="shared" si="1"/>
        <v>3738.88</v>
      </c>
      <c r="K18" s="41">
        <f t="shared" si="1"/>
        <v>3738.88</v>
      </c>
      <c r="L18" s="41">
        <f>K20</f>
        <v>3738.88</v>
      </c>
      <c r="M18" s="41">
        <f t="shared" si="1"/>
        <v>3738.88</v>
      </c>
      <c r="N18" s="41">
        <f t="shared" si="1"/>
        <v>6441.83</v>
      </c>
      <c r="O18" s="41">
        <f t="shared" si="1"/>
        <v>6441.83</v>
      </c>
      <c r="P18" s="11"/>
    </row>
    <row r="19" spans="1:16" x14ac:dyDescent="0.25">
      <c r="A19" s="7" t="s">
        <v>92</v>
      </c>
      <c r="B19" s="7"/>
      <c r="C19" s="7"/>
      <c r="D19" s="36">
        <f>D15</f>
        <v>2362.9</v>
      </c>
      <c r="E19" s="36">
        <f t="shared" ref="E19:O19" si="2">E15</f>
        <v>174.55</v>
      </c>
      <c r="F19" s="36">
        <f t="shared" si="2"/>
        <v>0</v>
      </c>
      <c r="G19" s="36">
        <f t="shared" si="2"/>
        <v>1025.43</v>
      </c>
      <c r="H19" s="36">
        <f t="shared" si="2"/>
        <v>0</v>
      </c>
      <c r="I19" s="36">
        <f t="shared" si="2"/>
        <v>0</v>
      </c>
      <c r="J19" s="36">
        <f t="shared" si="2"/>
        <v>0</v>
      </c>
      <c r="K19" s="36">
        <f t="shared" si="2"/>
        <v>0</v>
      </c>
      <c r="L19" s="36">
        <f t="shared" si="2"/>
        <v>0</v>
      </c>
      <c r="M19" s="36">
        <f t="shared" si="2"/>
        <v>2702.95</v>
      </c>
      <c r="N19" s="36">
        <f t="shared" si="2"/>
        <v>0</v>
      </c>
      <c r="O19" s="36">
        <f t="shared" si="2"/>
        <v>515.29999999999995</v>
      </c>
      <c r="P19" s="11"/>
    </row>
    <row r="20" spans="1:16" x14ac:dyDescent="0.25">
      <c r="A20" s="7" t="s">
        <v>93</v>
      </c>
      <c r="B20" s="7"/>
      <c r="C20" s="7"/>
      <c r="D20" s="11">
        <f>SUM(D18:D19)</f>
        <v>2538.9</v>
      </c>
      <c r="E20" s="11">
        <f t="shared" ref="E20:O20" si="3">SUM(E18:E19)</f>
        <v>2713.4500000000003</v>
      </c>
      <c r="F20" s="11">
        <f t="shared" si="3"/>
        <v>2713.4500000000003</v>
      </c>
      <c r="G20" s="11">
        <f t="shared" si="3"/>
        <v>3738.88</v>
      </c>
      <c r="H20" s="11">
        <f t="shared" si="3"/>
        <v>3738.88</v>
      </c>
      <c r="I20" s="11">
        <f t="shared" si="3"/>
        <v>3738.88</v>
      </c>
      <c r="J20" s="11">
        <f t="shared" si="3"/>
        <v>3738.88</v>
      </c>
      <c r="K20" s="11">
        <f t="shared" si="3"/>
        <v>3738.88</v>
      </c>
      <c r="L20" s="11">
        <f t="shared" si="3"/>
        <v>3738.88</v>
      </c>
      <c r="M20" s="11">
        <f t="shared" si="3"/>
        <v>6441.83</v>
      </c>
      <c r="N20" s="11">
        <f t="shared" si="3"/>
        <v>6441.83</v>
      </c>
      <c r="O20" s="11">
        <f t="shared" si="3"/>
        <v>6957.13</v>
      </c>
      <c r="P20" s="11"/>
    </row>
    <row r="21" spans="1:16" x14ac:dyDescent="0.25">
      <c r="A21" s="7"/>
      <c r="B21" s="7"/>
      <c r="C21" s="7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25">
      <c r="A22" s="7" t="s">
        <v>94</v>
      </c>
      <c r="B22" s="7"/>
      <c r="C22" s="7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5">
      <c r="A23" s="7" t="s">
        <v>16</v>
      </c>
      <c r="B23" s="7"/>
      <c r="C23" s="7"/>
      <c r="D23" s="102">
        <f>PGTVA!B28</f>
        <v>5.4899999999999997E-2</v>
      </c>
      <c r="E23" s="102">
        <f>PGTVA!C28</f>
        <v>5.4899999999999997E-2</v>
      </c>
      <c r="F23" s="102">
        <f>PGTVA!D28</f>
        <v>5.4899999999999997E-2</v>
      </c>
      <c r="G23" s="102">
        <f>PGTVA!E28</f>
        <v>5.4899999999999997E-2</v>
      </c>
      <c r="H23" s="102">
        <f>PGTVA!F28</f>
        <v>5.4899999999999997E-2</v>
      </c>
      <c r="I23" s="102">
        <f>PGTVA!G28</f>
        <v>5.4899999999999997E-2</v>
      </c>
      <c r="J23" s="102">
        <f>PGTVA!H28</f>
        <v>5.1999999999999998E-2</v>
      </c>
      <c r="K23" s="102">
        <f>PGTVA!I28</f>
        <v>5.1999999999999998E-2</v>
      </c>
      <c r="L23" s="102">
        <f>PGTVA!J28</f>
        <v>5.1999999999999998E-2</v>
      </c>
      <c r="M23" s="102">
        <f>PGTVA!K28</f>
        <v>4.3999999999999997E-2</v>
      </c>
      <c r="N23" s="102">
        <f>PGTVA!L28</f>
        <v>4.3999999999999997E-2</v>
      </c>
      <c r="O23" s="102">
        <f>PGTVA!M28</f>
        <v>4.3999999999999997E-2</v>
      </c>
      <c r="P23" s="43">
        <f>(Summary!D3+Summary!E3+Summary!F3+Summary!G3)/4</f>
        <v>3.1550000000000002E-2</v>
      </c>
    </row>
    <row r="24" spans="1:16" x14ac:dyDescent="0.25">
      <c r="A24" s="7"/>
      <c r="B24" s="7"/>
      <c r="C24" s="7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x14ac:dyDescent="0.25">
      <c r="A25" s="7" t="s">
        <v>17</v>
      </c>
      <c r="B25" s="7"/>
      <c r="C25" s="7"/>
      <c r="D25" s="41">
        <v>0</v>
      </c>
      <c r="E25" s="41">
        <f>D27</f>
        <v>0.80520000000000003</v>
      </c>
      <c r="F25" s="41">
        <f t="shared" ref="F25:O25" si="4">E27</f>
        <v>12.420667499999999</v>
      </c>
      <c r="G25" s="41">
        <f t="shared" si="4"/>
        <v>24.834701250000002</v>
      </c>
      <c r="H25" s="41">
        <f t="shared" si="4"/>
        <v>37.248735000000003</v>
      </c>
      <c r="I25" s="41">
        <f t="shared" si="4"/>
        <v>54.354111000000003</v>
      </c>
      <c r="J25" s="41">
        <f t="shared" si="4"/>
        <v>71.459486999999996</v>
      </c>
      <c r="K25" s="41">
        <f t="shared" si="4"/>
        <v>87.66130033333333</v>
      </c>
      <c r="L25" s="41">
        <f t="shared" si="4"/>
        <v>103.86311366666666</v>
      </c>
      <c r="M25" s="41">
        <f t="shared" si="4"/>
        <v>120.064927</v>
      </c>
      <c r="N25" s="41">
        <f t="shared" si="4"/>
        <v>133.77415366666668</v>
      </c>
      <c r="O25" s="41">
        <f t="shared" si="4"/>
        <v>157.39419700000002</v>
      </c>
      <c r="P25" s="41">
        <f t="shared" ref="P25" si="5">O27</f>
        <v>181.01424033333336</v>
      </c>
    </row>
    <row r="26" spans="1:16" x14ac:dyDescent="0.25">
      <c r="A26" s="7" t="s">
        <v>18</v>
      </c>
      <c r="B26" s="7"/>
      <c r="C26" s="7"/>
      <c r="D26" s="36">
        <f t="shared" ref="D26:O26" si="6">D18*D23/12</f>
        <v>0.80520000000000003</v>
      </c>
      <c r="E26" s="36">
        <f t="shared" si="6"/>
        <v>11.615467499999999</v>
      </c>
      <c r="F26" s="36">
        <f t="shared" si="6"/>
        <v>12.414033750000002</v>
      </c>
      <c r="G26" s="36">
        <f t="shared" si="6"/>
        <v>12.414033750000002</v>
      </c>
      <c r="H26" s="36">
        <f t="shared" si="6"/>
        <v>17.105376</v>
      </c>
      <c r="I26" s="36">
        <f t="shared" si="6"/>
        <v>17.105376</v>
      </c>
      <c r="J26" s="36">
        <f t="shared" si="6"/>
        <v>16.201813333333334</v>
      </c>
      <c r="K26" s="36">
        <f t="shared" si="6"/>
        <v>16.201813333333334</v>
      </c>
      <c r="L26" s="36">
        <f t="shared" si="6"/>
        <v>16.201813333333334</v>
      </c>
      <c r="M26" s="36">
        <f t="shared" si="6"/>
        <v>13.709226666666666</v>
      </c>
      <c r="N26" s="36">
        <f t="shared" si="6"/>
        <v>23.620043333333332</v>
      </c>
      <c r="O26" s="36">
        <f t="shared" si="6"/>
        <v>23.620043333333332</v>
      </c>
      <c r="P26" s="36">
        <f>O20*P23</f>
        <v>219.49745150000001</v>
      </c>
    </row>
    <row r="27" spans="1:16" x14ac:dyDescent="0.25">
      <c r="A27" s="42" t="s">
        <v>19</v>
      </c>
      <c r="B27" s="42"/>
      <c r="C27" s="42"/>
      <c r="D27" s="15">
        <f>SUM(D25:D26)</f>
        <v>0.80520000000000003</v>
      </c>
      <c r="E27" s="15">
        <f t="shared" ref="E27:O27" si="7">SUM(E25:E26)</f>
        <v>12.420667499999999</v>
      </c>
      <c r="F27" s="15">
        <f t="shared" si="7"/>
        <v>24.834701250000002</v>
      </c>
      <c r="G27" s="15">
        <f t="shared" si="7"/>
        <v>37.248735000000003</v>
      </c>
      <c r="H27" s="15">
        <f t="shared" si="7"/>
        <v>54.354111000000003</v>
      </c>
      <c r="I27" s="15">
        <f t="shared" si="7"/>
        <v>71.459486999999996</v>
      </c>
      <c r="J27" s="15">
        <f t="shared" si="7"/>
        <v>87.66130033333333</v>
      </c>
      <c r="K27" s="15">
        <f t="shared" si="7"/>
        <v>103.86311366666666</v>
      </c>
      <c r="L27" s="15">
        <f t="shared" si="7"/>
        <v>120.064927</v>
      </c>
      <c r="M27" s="15">
        <f t="shared" si="7"/>
        <v>133.77415366666668</v>
      </c>
      <c r="N27" s="15">
        <f t="shared" si="7"/>
        <v>157.39419700000002</v>
      </c>
      <c r="O27" s="15">
        <f t="shared" si="7"/>
        <v>181.01424033333336</v>
      </c>
      <c r="P27" s="15">
        <f>SUM(P25:P26)</f>
        <v>400.51169183333337</v>
      </c>
    </row>
    <row r="28" spans="1:16" x14ac:dyDescent="0.25">
      <c r="A28" s="2"/>
      <c r="B28" s="2"/>
      <c r="C28" s="2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x14ac:dyDescent="0.25">
      <c r="G29" s="17"/>
      <c r="H29" s="17"/>
      <c r="I29" s="17"/>
      <c r="J29" s="17"/>
      <c r="K29" s="17"/>
    </row>
    <row r="30" spans="1:16" x14ac:dyDescent="0.25">
      <c r="A30" s="16" t="s">
        <v>95</v>
      </c>
      <c r="B30" s="16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6" ht="45" x14ac:dyDescent="0.25">
      <c r="A31" s="18"/>
      <c r="B31" s="18" t="s">
        <v>71</v>
      </c>
      <c r="C31" s="18" t="s">
        <v>83</v>
      </c>
      <c r="D31" s="18" t="s">
        <v>88</v>
      </c>
      <c r="E31" s="17"/>
      <c r="F31" s="17"/>
      <c r="G31" s="17"/>
      <c r="H31" s="17"/>
      <c r="I31" s="17"/>
      <c r="J31" s="19"/>
      <c r="K31" s="19"/>
      <c r="L31" s="17"/>
    </row>
    <row r="32" spans="1:16" x14ac:dyDescent="0.25">
      <c r="A32" s="76" t="s">
        <v>69</v>
      </c>
      <c r="B32" s="77">
        <f>O20</f>
        <v>6957.13</v>
      </c>
      <c r="C32" s="77"/>
      <c r="D32" s="77">
        <f>B32+C32</f>
        <v>6957.13</v>
      </c>
      <c r="E32" s="17"/>
      <c r="F32" s="17"/>
      <c r="G32" s="17"/>
      <c r="H32" s="17"/>
      <c r="I32" s="17"/>
      <c r="J32" s="17"/>
      <c r="K32" s="17"/>
      <c r="L32" s="17"/>
    </row>
    <row r="33" spans="1:12" x14ac:dyDescent="0.25">
      <c r="A33" s="20" t="s">
        <v>70</v>
      </c>
      <c r="B33" s="81">
        <f>O27</f>
        <v>181.01424033333336</v>
      </c>
      <c r="C33" s="81">
        <f>P26</f>
        <v>219.49745150000001</v>
      </c>
      <c r="D33" s="81">
        <f t="shared" ref="D33:D34" si="8">B33+C33</f>
        <v>400.51169183333337</v>
      </c>
      <c r="E33" s="17"/>
      <c r="F33" s="17"/>
      <c r="G33" s="17"/>
      <c r="H33" s="17"/>
      <c r="I33" s="17"/>
      <c r="J33" s="25"/>
      <c r="K33" s="25"/>
      <c r="L33" s="17"/>
    </row>
    <row r="34" spans="1:12" x14ac:dyDescent="0.25">
      <c r="A34" s="26" t="s">
        <v>20</v>
      </c>
      <c r="B34" s="78">
        <f>B33+B32</f>
        <v>7138.1442403333331</v>
      </c>
      <c r="C34" s="78">
        <f t="shared" ref="C34" si="9">C33+C32</f>
        <v>219.49745150000001</v>
      </c>
      <c r="D34" s="78">
        <f t="shared" si="8"/>
        <v>7357.6416918333334</v>
      </c>
      <c r="E34" s="17"/>
      <c r="F34" s="17"/>
      <c r="G34" s="17"/>
      <c r="H34" s="17"/>
      <c r="I34" s="17"/>
      <c r="J34" s="17"/>
      <c r="K34" s="17"/>
      <c r="L34" s="17"/>
    </row>
    <row r="35" spans="1:1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7" spans="1:12" x14ac:dyDescent="0.25">
      <c r="A37" s="16" t="s">
        <v>120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2" x14ac:dyDescent="0.25">
      <c r="A38" s="18"/>
      <c r="B38" s="18" t="s">
        <v>21</v>
      </c>
      <c r="C38" s="18" t="s">
        <v>22</v>
      </c>
      <c r="D38" s="18" t="s">
        <v>32</v>
      </c>
      <c r="E38" s="18" t="s">
        <v>23</v>
      </c>
      <c r="F38" s="18" t="s">
        <v>24</v>
      </c>
      <c r="G38" s="18" t="s">
        <v>25</v>
      </c>
      <c r="H38" s="18" t="s">
        <v>26</v>
      </c>
      <c r="I38" s="19"/>
      <c r="J38" s="19"/>
      <c r="K38" s="17"/>
    </row>
    <row r="39" spans="1:12" x14ac:dyDescent="0.25">
      <c r="A39" s="20" t="s">
        <v>121</v>
      </c>
      <c r="B39" s="21" t="s">
        <v>122</v>
      </c>
      <c r="C39" s="22">
        <f>SUM(D39:H39)</f>
        <v>10442</v>
      </c>
      <c r="D39" s="22">
        <f>'Load Forecast'!F18</f>
        <v>10335</v>
      </c>
      <c r="E39" s="22">
        <f>'Load Forecast'!G18</f>
        <v>53</v>
      </c>
      <c r="F39" s="22">
        <f>'Load Forecast'!H18</f>
        <v>5</v>
      </c>
      <c r="G39" s="22">
        <f>'Load Forecast'!I18</f>
        <v>45</v>
      </c>
      <c r="H39" s="22">
        <f>'Load Forecast'!J18</f>
        <v>4</v>
      </c>
      <c r="I39" s="17"/>
      <c r="J39" s="17"/>
      <c r="K39" s="17"/>
    </row>
    <row r="40" spans="1:12" x14ac:dyDescent="0.25">
      <c r="A40" s="20" t="s">
        <v>29</v>
      </c>
      <c r="B40" s="23" t="s">
        <v>27</v>
      </c>
      <c r="C40" s="24">
        <f>SUM(D40:H40)</f>
        <v>1</v>
      </c>
      <c r="D40" s="24">
        <f>D39/$C$39</f>
        <v>0.98975292089638001</v>
      </c>
      <c r="E40" s="24">
        <f t="shared" ref="E40:H40" si="10">E39/$C$39</f>
        <v>5.0756560045968208E-3</v>
      </c>
      <c r="F40" s="24">
        <f t="shared" si="10"/>
        <v>4.7883547213177551E-4</v>
      </c>
      <c r="G40" s="24">
        <f t="shared" si="10"/>
        <v>4.3095192491859795E-3</v>
      </c>
      <c r="H40" s="24">
        <f t="shared" si="10"/>
        <v>3.8306837770542041E-4</v>
      </c>
      <c r="I40" s="25"/>
      <c r="J40" s="25"/>
      <c r="K40" s="17"/>
    </row>
    <row r="41" spans="1:12" x14ac:dyDescent="0.25">
      <c r="A41" s="26" t="s">
        <v>20</v>
      </c>
      <c r="B41" s="27" t="s">
        <v>28</v>
      </c>
      <c r="C41" s="28">
        <f>SUM(D41:H41)</f>
        <v>7357.6416918333325</v>
      </c>
      <c r="D41" s="28">
        <f t="shared" ref="D41:H41" si="11">D40*($P$27+$O$20)</f>
        <v>7282.2473554010248</v>
      </c>
      <c r="E41" s="28">
        <f t="shared" si="11"/>
        <v>37.344858232825771</v>
      </c>
      <c r="F41" s="28">
        <f t="shared" si="11"/>
        <v>3.5230998332854497</v>
      </c>
      <c r="G41" s="28">
        <f t="shared" si="11"/>
        <v>31.707898499569048</v>
      </c>
      <c r="H41" s="28">
        <f t="shared" si="11"/>
        <v>2.8184798666283597</v>
      </c>
      <c r="I41" s="17"/>
      <c r="J41" s="17"/>
      <c r="K41" s="17"/>
    </row>
    <row r="42" spans="1:1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4" spans="1:12" x14ac:dyDescent="0.25">
      <c r="A44" s="16" t="s">
        <v>125</v>
      </c>
      <c r="B44" s="17"/>
      <c r="C44" s="17"/>
      <c r="D44" s="17"/>
      <c r="E44" s="17"/>
      <c r="F44" s="17"/>
      <c r="G44" s="17"/>
      <c r="H44" s="17"/>
    </row>
    <row r="45" spans="1:12" x14ac:dyDescent="0.25">
      <c r="A45" s="18"/>
      <c r="B45" s="18" t="s">
        <v>21</v>
      </c>
      <c r="C45" s="18" t="s">
        <v>22</v>
      </c>
      <c r="D45" s="18" t="s">
        <v>32</v>
      </c>
      <c r="E45" s="18" t="s">
        <v>23</v>
      </c>
      <c r="F45" s="18" t="s">
        <v>24</v>
      </c>
      <c r="G45" s="18" t="s">
        <v>25</v>
      </c>
      <c r="H45" s="18" t="s">
        <v>26</v>
      </c>
    </row>
    <row r="46" spans="1:12" x14ac:dyDescent="0.25">
      <c r="A46" s="20" t="s">
        <v>121</v>
      </c>
      <c r="B46" s="21" t="s">
        <v>122</v>
      </c>
      <c r="C46" s="120">
        <f>SUM(D46:H46)</f>
        <v>10442</v>
      </c>
      <c r="D46" s="22">
        <f>'Load Forecast'!F18</f>
        <v>10335</v>
      </c>
      <c r="E46" s="22">
        <f>'Load Forecast'!G18</f>
        <v>53</v>
      </c>
      <c r="F46" s="22">
        <f>'Load Forecast'!H18</f>
        <v>5</v>
      </c>
      <c r="G46" s="22">
        <f>'Load Forecast'!I18</f>
        <v>45</v>
      </c>
      <c r="H46" s="22">
        <f>'Load Forecast'!J18</f>
        <v>4</v>
      </c>
    </row>
    <row r="47" spans="1:12" x14ac:dyDescent="0.25">
      <c r="A47" s="20" t="s">
        <v>29</v>
      </c>
      <c r="B47" s="23" t="s">
        <v>27</v>
      </c>
      <c r="C47" s="24">
        <f>SUM(D47:H47)</f>
        <v>1</v>
      </c>
      <c r="D47" s="29">
        <f t="shared" ref="D47:H47" si="12">D40</f>
        <v>0.98975292089638001</v>
      </c>
      <c r="E47" s="29">
        <f t="shared" si="12"/>
        <v>5.0756560045968208E-3</v>
      </c>
      <c r="F47" s="29">
        <f t="shared" si="12"/>
        <v>4.7883547213177551E-4</v>
      </c>
      <c r="G47" s="29">
        <f t="shared" si="12"/>
        <v>4.3095192491859795E-3</v>
      </c>
      <c r="H47" s="29">
        <f t="shared" si="12"/>
        <v>3.8306837770542041E-4</v>
      </c>
    </row>
    <row r="48" spans="1:12" x14ac:dyDescent="0.25">
      <c r="A48" s="30" t="s">
        <v>20</v>
      </c>
      <c r="B48" s="31" t="s">
        <v>28</v>
      </c>
      <c r="C48" s="32">
        <f>SUM(D48:H48)</f>
        <v>7357.6416918333325</v>
      </c>
      <c r="D48" s="32">
        <f>D46*D49*12</f>
        <v>7282.2473554010248</v>
      </c>
      <c r="E48" s="32">
        <f t="shared" ref="E48:H48" si="13">E46*E49*12</f>
        <v>37.344858232825771</v>
      </c>
      <c r="F48" s="32">
        <f t="shared" si="13"/>
        <v>3.5230998332854497</v>
      </c>
      <c r="G48" s="32">
        <f t="shared" si="13"/>
        <v>31.707898499569048</v>
      </c>
      <c r="H48" s="32">
        <f t="shared" si="13"/>
        <v>2.8184798666283597</v>
      </c>
    </row>
    <row r="49" spans="1:8" x14ac:dyDescent="0.25">
      <c r="A49" s="26" t="s">
        <v>30</v>
      </c>
      <c r="B49" s="27" t="s">
        <v>124</v>
      </c>
      <c r="C49" s="33"/>
      <c r="D49" s="117">
        <f>D41/D46/12</f>
        <v>5.8718330554757496E-2</v>
      </c>
      <c r="E49" s="117">
        <f t="shared" ref="E49:H49" si="14">E41/E46/12</f>
        <v>5.8718330554757503E-2</v>
      </c>
      <c r="F49" s="117">
        <f t="shared" si="14"/>
        <v>5.8718330554757496E-2</v>
      </c>
      <c r="G49" s="117">
        <f t="shared" si="14"/>
        <v>5.8718330554757496E-2</v>
      </c>
      <c r="H49" s="117">
        <f t="shared" si="14"/>
        <v>5.8718330554757496E-2</v>
      </c>
    </row>
    <row r="51" spans="1:8" x14ac:dyDescent="0.25">
      <c r="D51" s="118"/>
      <c r="E51" s="118"/>
    </row>
  </sheetData>
  <sheetProtection sheet="1" objects="1" scenarios="1"/>
  <phoneticPr fontId="21" type="noConversion"/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showGridLines="0" zoomScale="80" zoomScaleNormal="80" zoomScaleSheetLayoutView="85" workbookViewId="0">
      <selection activeCell="S53" sqref="S53"/>
    </sheetView>
  </sheetViews>
  <sheetFormatPr defaultColWidth="12.5703125" defaultRowHeight="15" x14ac:dyDescent="0.25"/>
  <cols>
    <col min="1" max="1" width="48.140625" customWidth="1"/>
    <col min="2" max="2" width="11.7109375" bestFit="1" customWidth="1"/>
    <col min="3" max="3" width="13.5703125" customWidth="1"/>
    <col min="4" max="4" width="12.42578125" customWidth="1"/>
    <col min="5" max="6" width="11.7109375" bestFit="1" customWidth="1"/>
    <col min="7" max="8" width="11.28515625" bestFit="1" customWidth="1"/>
    <col min="9" max="13" width="11.7109375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">
        <v>75</v>
      </c>
    </row>
    <row r="3" spans="1:15" s="2" customFormat="1" x14ac:dyDescent="0.25">
      <c r="A3" s="2" t="s">
        <v>76</v>
      </c>
    </row>
    <row r="4" spans="1:15" s="2" customFormat="1" x14ac:dyDescent="0.25">
      <c r="A4" s="2" t="s">
        <v>74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33</v>
      </c>
    </row>
    <row r="7" spans="1:15" x14ac:dyDescent="0.25">
      <c r="A7" s="7" t="s">
        <v>36</v>
      </c>
      <c r="B7" s="44"/>
      <c r="C7" s="44"/>
      <c r="D7" s="44"/>
      <c r="E7" s="44"/>
      <c r="F7" s="45"/>
      <c r="G7" s="45"/>
      <c r="H7" s="46"/>
      <c r="I7" s="45"/>
      <c r="J7" s="45"/>
      <c r="K7" s="45"/>
      <c r="L7" s="45"/>
      <c r="M7" s="45"/>
      <c r="O7" s="45"/>
    </row>
    <row r="8" spans="1:15" x14ac:dyDescent="0.25">
      <c r="A8" s="7" t="s">
        <v>37</v>
      </c>
      <c r="B8" s="9">
        <v>10845.23</v>
      </c>
      <c r="C8" s="9">
        <v>8158.09</v>
      </c>
      <c r="D8" s="9">
        <v>6609.42</v>
      </c>
      <c r="E8" s="9">
        <v>3117.56</v>
      </c>
      <c r="F8" s="9">
        <v>1182.05</v>
      </c>
      <c r="G8" s="9">
        <v>852.72</v>
      </c>
      <c r="H8" s="9">
        <v>1085.04</v>
      </c>
      <c r="I8" s="9">
        <v>1514.71</v>
      </c>
      <c r="J8" s="9">
        <v>1810.74</v>
      </c>
      <c r="K8" s="9">
        <v>5327.28</v>
      </c>
      <c r="L8" s="9">
        <v>7826.63</v>
      </c>
      <c r="M8" s="9">
        <v>9837.7199999999993</v>
      </c>
      <c r="O8" s="8"/>
    </row>
    <row r="9" spans="1:15" x14ac:dyDescent="0.25">
      <c r="A9" s="7" t="s">
        <v>38</v>
      </c>
      <c r="B9" s="9">
        <v>0</v>
      </c>
      <c r="C9" s="9">
        <v>0</v>
      </c>
      <c r="D9" s="9">
        <v>0</v>
      </c>
      <c r="E9" s="9">
        <v>45293.229999999996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O9" s="8"/>
    </row>
    <row r="10" spans="1:15" x14ac:dyDescent="0.25">
      <c r="A10" s="7" t="s">
        <v>39</v>
      </c>
      <c r="B10" s="9">
        <v>60391.23</v>
      </c>
      <c r="C10" s="9">
        <v>60391.23</v>
      </c>
      <c r="D10" s="9">
        <v>60391.23</v>
      </c>
      <c r="E10" s="9">
        <v>60391.23</v>
      </c>
      <c r="F10" s="9">
        <v>49474.92</v>
      </c>
      <c r="G10" s="9">
        <v>49474.92</v>
      </c>
      <c r="H10" s="9">
        <v>49474.92</v>
      </c>
      <c r="I10" s="9">
        <v>49474.92</v>
      </c>
      <c r="J10" s="9">
        <v>49474.92</v>
      </c>
      <c r="K10" s="9">
        <v>49474.92</v>
      </c>
      <c r="L10" s="9">
        <v>49474.93</v>
      </c>
      <c r="M10" s="9">
        <v>49474.93</v>
      </c>
      <c r="O10" s="8"/>
    </row>
    <row r="11" spans="1:15" x14ac:dyDescent="0.25">
      <c r="A11" s="35" t="s">
        <v>40</v>
      </c>
      <c r="B11" s="9">
        <v>8689.18</v>
      </c>
      <c r="C11" s="9">
        <v>8689.18</v>
      </c>
      <c r="D11" s="9">
        <v>8618.9903218634772</v>
      </c>
      <c r="E11" s="9">
        <v>8689.18</v>
      </c>
      <c r="F11" s="9">
        <v>7118.52</v>
      </c>
      <c r="G11" s="9">
        <v>7290.8200968785777</v>
      </c>
      <c r="H11" s="9">
        <v>7133.09</v>
      </c>
      <c r="I11" s="9">
        <v>7133.09</v>
      </c>
      <c r="J11" s="9">
        <v>7300.63</v>
      </c>
      <c r="K11" s="9">
        <v>7133.09</v>
      </c>
      <c r="L11" s="9">
        <v>10271.65</v>
      </c>
      <c r="M11" s="9">
        <v>12363.86</v>
      </c>
      <c r="O11" s="8"/>
    </row>
    <row r="12" spans="1:15" x14ac:dyDescent="0.25">
      <c r="A12" s="35" t="s">
        <v>41</v>
      </c>
      <c r="B12" s="36">
        <v>3543.62</v>
      </c>
      <c r="C12" s="36">
        <v>3062.19</v>
      </c>
      <c r="D12" s="36">
        <v>3005.764939185181</v>
      </c>
      <c r="E12" s="36">
        <v>1598.23</v>
      </c>
      <c r="F12" s="36">
        <v>813.13</v>
      </c>
      <c r="G12" s="36">
        <v>527.84627987594479</v>
      </c>
      <c r="H12" s="36">
        <v>0</v>
      </c>
      <c r="I12" s="36">
        <v>0</v>
      </c>
      <c r="J12" s="36">
        <v>755.71</v>
      </c>
      <c r="K12" s="36">
        <v>1681.56</v>
      </c>
      <c r="L12" s="36">
        <v>1951.65</v>
      </c>
      <c r="M12" s="36">
        <v>2845.53</v>
      </c>
      <c r="O12" s="8"/>
    </row>
    <row r="13" spans="1:15" x14ac:dyDescent="0.25">
      <c r="A13" s="7" t="s">
        <v>43</v>
      </c>
      <c r="B13" s="9">
        <f>SUM(B8:B12)</f>
        <v>83469.260000000009</v>
      </c>
      <c r="C13" s="9">
        <f>SUM(C8:C12)</f>
        <v>80300.69</v>
      </c>
      <c r="D13" s="9">
        <f>SUM(D8:D12)</f>
        <v>78625.405261048669</v>
      </c>
      <c r="E13" s="9">
        <f>SUM(E8:E12)</f>
        <v>119089.42999999998</v>
      </c>
      <c r="F13" s="9">
        <f>SUM(F8:F12)</f>
        <v>58588.62</v>
      </c>
      <c r="G13" s="9">
        <f t="shared" ref="G13:M13" si="0">SUM(G8:G12)</f>
        <v>58146.306376754517</v>
      </c>
      <c r="H13" s="9">
        <f t="shared" si="0"/>
        <v>57693.05</v>
      </c>
      <c r="I13" s="9">
        <f t="shared" si="0"/>
        <v>58122.720000000001</v>
      </c>
      <c r="J13" s="9">
        <f t="shared" si="0"/>
        <v>59341.999999999993</v>
      </c>
      <c r="K13" s="9">
        <f t="shared" si="0"/>
        <v>63616.849999999991</v>
      </c>
      <c r="L13" s="9">
        <f t="shared" si="0"/>
        <v>69524.859999999986</v>
      </c>
      <c r="M13" s="9">
        <f t="shared" si="0"/>
        <v>74522.040000000008</v>
      </c>
      <c r="O13" s="8"/>
    </row>
    <row r="14" spans="1:15" x14ac:dyDescent="0.25">
      <c r="A14" s="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O14" s="8"/>
    </row>
    <row r="15" spans="1:15" ht="17.25" x14ac:dyDescent="0.25">
      <c r="A15" s="7" t="s">
        <v>46</v>
      </c>
      <c r="B15" s="37">
        <v>5199459.8898900002</v>
      </c>
      <c r="C15" s="37">
        <v>4127785.2760299998</v>
      </c>
      <c r="D15" s="37">
        <v>3708622.1462091329</v>
      </c>
      <c r="E15" s="37">
        <v>2278280.2138400003</v>
      </c>
      <c r="F15" s="37">
        <v>1105356.3</v>
      </c>
      <c r="G15" s="37">
        <v>807689.15136000002</v>
      </c>
      <c r="H15" s="37">
        <v>835573.52068999992</v>
      </c>
      <c r="I15" s="37">
        <v>1008271.9376300001</v>
      </c>
      <c r="J15" s="37">
        <v>1294856.8099799999</v>
      </c>
      <c r="K15" s="37">
        <v>2892073.92362</v>
      </c>
      <c r="L15" s="37">
        <v>3883466.05</v>
      </c>
      <c r="M15" s="37">
        <v>4835985.2828400005</v>
      </c>
      <c r="N15" s="11"/>
      <c r="O15" s="11"/>
    </row>
    <row r="16" spans="1:15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1"/>
      <c r="O16" s="11"/>
    </row>
    <row r="17" spans="1:15" ht="17.25" x14ac:dyDescent="0.25">
      <c r="A17" s="7" t="s">
        <v>47</v>
      </c>
      <c r="B17" s="38">
        <f t="shared" ref="B17:M17" si="1">B13/B15</f>
        <v>1.6053448198013867E-2</v>
      </c>
      <c r="C17" s="38">
        <f t="shared" si="1"/>
        <v>1.9453698443643655E-2</v>
      </c>
      <c r="D17" s="38">
        <f t="shared" si="1"/>
        <v>2.1200705318932998E-2</v>
      </c>
      <c r="E17" s="38">
        <f t="shared" si="1"/>
        <v>5.2271634225044196E-2</v>
      </c>
      <c r="F17" s="38">
        <f t="shared" si="1"/>
        <v>5.3004284681780887E-2</v>
      </c>
      <c r="G17" s="38">
        <f t="shared" si="1"/>
        <v>7.19909463669864E-2</v>
      </c>
      <c r="H17" s="38">
        <f t="shared" si="1"/>
        <v>6.9046048697615783E-2</v>
      </c>
      <c r="I17" s="38">
        <f t="shared" si="1"/>
        <v>5.7645876901642946E-2</v>
      </c>
      <c r="J17" s="38">
        <f t="shared" si="1"/>
        <v>4.5829005603265568E-2</v>
      </c>
      <c r="K17" s="38">
        <f t="shared" si="1"/>
        <v>2.1996965388896759E-2</v>
      </c>
      <c r="L17" s="38">
        <f t="shared" si="1"/>
        <v>1.7902785579907411E-2</v>
      </c>
      <c r="M17" s="38">
        <f t="shared" si="1"/>
        <v>1.5409898012806997E-2</v>
      </c>
      <c r="N17" s="11"/>
      <c r="O17" s="11"/>
    </row>
    <row r="18" spans="1:15" x14ac:dyDescent="0.25">
      <c r="A18" s="7" t="s">
        <v>90</v>
      </c>
      <c r="B18" s="40">
        <v>2.3723999999999999E-2</v>
      </c>
      <c r="C18" s="40">
        <v>2.3723999999999999E-2</v>
      </c>
      <c r="D18" s="40">
        <v>2.3723999999999999E-2</v>
      </c>
      <c r="E18" s="40">
        <v>2.3723999999999999E-2</v>
      </c>
      <c r="F18" s="40">
        <v>2.3723999999999999E-2</v>
      </c>
      <c r="G18" s="40">
        <v>2.3723999999999999E-2</v>
      </c>
      <c r="H18" s="40">
        <v>2.3723999999999999E-2</v>
      </c>
      <c r="I18" s="40">
        <v>2.3723999999999999E-2</v>
      </c>
      <c r="J18" s="40">
        <v>2.3723999999999999E-2</v>
      </c>
      <c r="K18" s="40">
        <v>2.3723999999999999E-2</v>
      </c>
      <c r="L18" s="40">
        <v>2.3723999999999999E-2</v>
      </c>
      <c r="M18" s="40">
        <v>2.3723999999999999E-2</v>
      </c>
      <c r="N18" s="11"/>
      <c r="O18" s="11"/>
    </row>
    <row r="19" spans="1:15" x14ac:dyDescent="0.25">
      <c r="A19" s="7" t="s">
        <v>44</v>
      </c>
      <c r="B19" s="39">
        <f t="shared" ref="B19:M19" si="2">B17-B18</f>
        <v>-7.6705518019861314E-3</v>
      </c>
      <c r="C19" s="39">
        <f t="shared" si="2"/>
        <v>-4.2703015563563436E-3</v>
      </c>
      <c r="D19" s="39">
        <f t="shared" si="2"/>
        <v>-2.5232946810670003E-3</v>
      </c>
      <c r="E19" s="39">
        <f t="shared" si="2"/>
        <v>2.8547634225044197E-2</v>
      </c>
      <c r="F19" s="39">
        <f t="shared" si="2"/>
        <v>2.9280284681780889E-2</v>
      </c>
      <c r="G19" s="39">
        <f t="shared" si="2"/>
        <v>4.8266946366986405E-2</v>
      </c>
      <c r="H19" s="39">
        <f t="shared" si="2"/>
        <v>4.5322048697615788E-2</v>
      </c>
      <c r="I19" s="39">
        <f t="shared" si="2"/>
        <v>3.3921876901642944E-2</v>
      </c>
      <c r="J19" s="39">
        <f t="shared" si="2"/>
        <v>2.210500560326557E-2</v>
      </c>
      <c r="K19" s="39">
        <f t="shared" si="2"/>
        <v>-1.7270346111032397E-3</v>
      </c>
      <c r="L19" s="39">
        <f t="shared" si="2"/>
        <v>-5.8212144200925874E-3</v>
      </c>
      <c r="M19" s="39">
        <f t="shared" si="2"/>
        <v>-8.3141019871930018E-3</v>
      </c>
      <c r="O19" s="9"/>
    </row>
    <row r="20" spans="1:15" x14ac:dyDescent="0.25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O20" s="10"/>
    </row>
    <row r="21" spans="1:15" x14ac:dyDescent="0.25">
      <c r="A21" s="7" t="s">
        <v>45</v>
      </c>
      <c r="B21" s="11">
        <f t="shared" ref="B21:M21" si="3">B15*B19</f>
        <v>-39882.726427750356</v>
      </c>
      <c r="C21" s="11">
        <f t="shared" si="3"/>
        <v>-17626.887888535708</v>
      </c>
      <c r="D21" s="11">
        <f t="shared" si="3"/>
        <v>-9357.9465356167875</v>
      </c>
      <c r="E21" s="11">
        <f t="shared" si="3"/>
        <v>65039.510206859806</v>
      </c>
      <c r="F21" s="11">
        <f t="shared" si="3"/>
        <v>32365.147138800003</v>
      </c>
      <c r="G21" s="11">
        <f t="shared" si="3"/>
        <v>38984.688949889882</v>
      </c>
      <c r="H21" s="11">
        <f t="shared" si="3"/>
        <v>37869.903795150451</v>
      </c>
      <c r="I21" s="11">
        <f t="shared" si="3"/>
        <v>34202.476551665874</v>
      </c>
      <c r="J21" s="11">
        <f t="shared" si="3"/>
        <v>28622.817040034479</v>
      </c>
      <c r="K21" s="11">
        <f t="shared" si="3"/>
        <v>-4994.7117639608878</v>
      </c>
      <c r="L21" s="11">
        <f t="shared" si="3"/>
        <v>-22606.488570199999</v>
      </c>
      <c r="M21" s="11">
        <f t="shared" si="3"/>
        <v>-40206.874850096159</v>
      </c>
      <c r="O21" s="11"/>
    </row>
    <row r="22" spans="1:15" x14ac:dyDescent="0.25">
      <c r="A22" s="7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O22" s="14"/>
    </row>
    <row r="23" spans="1:15" x14ac:dyDescent="0.25">
      <c r="A23" s="7" t="s">
        <v>13</v>
      </c>
      <c r="B23" s="41">
        <v>0</v>
      </c>
      <c r="C23" s="41">
        <f>B25</f>
        <v>-39882.726427750356</v>
      </c>
      <c r="D23" s="41">
        <f t="shared" ref="D23:M23" si="4">C25</f>
        <v>-57509.614316286068</v>
      </c>
      <c r="E23" s="41">
        <f t="shared" si="4"/>
        <v>-66867.560851902861</v>
      </c>
      <c r="F23" s="41">
        <f t="shared" si="4"/>
        <v>-1828.0506450430548</v>
      </c>
      <c r="G23" s="41">
        <f t="shared" si="4"/>
        <v>30537.096493756948</v>
      </c>
      <c r="H23" s="41">
        <f t="shared" si="4"/>
        <v>69521.785443646833</v>
      </c>
      <c r="I23" s="41">
        <f t="shared" si="4"/>
        <v>107391.68923879729</v>
      </c>
      <c r="J23" s="41">
        <f>I25</f>
        <v>141594.16579046316</v>
      </c>
      <c r="K23" s="41">
        <f t="shared" si="4"/>
        <v>170216.98283049764</v>
      </c>
      <c r="L23" s="41">
        <f t="shared" si="4"/>
        <v>165222.27106653675</v>
      </c>
      <c r="M23" s="41">
        <f t="shared" si="4"/>
        <v>142615.78249633676</v>
      </c>
      <c r="N23" s="1"/>
      <c r="O23" s="11"/>
    </row>
    <row r="24" spans="1:15" x14ac:dyDescent="0.25">
      <c r="A24" s="7" t="s">
        <v>14</v>
      </c>
      <c r="B24" s="36">
        <f>B21</f>
        <v>-39882.726427750356</v>
      </c>
      <c r="C24" s="36">
        <f t="shared" ref="C24:M24" si="5">C21</f>
        <v>-17626.887888535708</v>
      </c>
      <c r="D24" s="36">
        <f t="shared" si="5"/>
        <v>-9357.9465356167875</v>
      </c>
      <c r="E24" s="36">
        <f t="shared" si="5"/>
        <v>65039.510206859806</v>
      </c>
      <c r="F24" s="36">
        <f t="shared" si="5"/>
        <v>32365.147138800003</v>
      </c>
      <c r="G24" s="36">
        <f t="shared" si="5"/>
        <v>38984.688949889882</v>
      </c>
      <c r="H24" s="36">
        <f t="shared" si="5"/>
        <v>37869.903795150451</v>
      </c>
      <c r="I24" s="36">
        <f t="shared" si="5"/>
        <v>34202.476551665874</v>
      </c>
      <c r="J24" s="36">
        <f t="shared" si="5"/>
        <v>28622.817040034479</v>
      </c>
      <c r="K24" s="36">
        <f t="shared" si="5"/>
        <v>-4994.7117639608878</v>
      </c>
      <c r="L24" s="36">
        <f t="shared" si="5"/>
        <v>-22606.488570199999</v>
      </c>
      <c r="M24" s="36">
        <f t="shared" si="5"/>
        <v>-40206.874850096159</v>
      </c>
      <c r="N24" s="1"/>
      <c r="O24" s="11"/>
    </row>
    <row r="25" spans="1:15" x14ac:dyDescent="0.25">
      <c r="A25" s="7" t="s">
        <v>15</v>
      </c>
      <c r="B25" s="11">
        <f>SUM(B23:B24)</f>
        <v>-39882.726427750356</v>
      </c>
      <c r="C25" s="11">
        <f t="shared" ref="C25:M25" si="6">SUM(C23:C24)</f>
        <v>-57509.614316286068</v>
      </c>
      <c r="D25" s="11">
        <f t="shared" si="6"/>
        <v>-66867.560851902861</v>
      </c>
      <c r="E25" s="11">
        <f t="shared" si="6"/>
        <v>-1828.0506450430548</v>
      </c>
      <c r="F25" s="11">
        <f t="shared" si="6"/>
        <v>30537.096493756948</v>
      </c>
      <c r="G25" s="11">
        <f t="shared" si="6"/>
        <v>69521.785443646833</v>
      </c>
      <c r="H25" s="11">
        <f t="shared" si="6"/>
        <v>107391.68923879729</v>
      </c>
      <c r="I25" s="11">
        <f t="shared" si="6"/>
        <v>141594.16579046316</v>
      </c>
      <c r="J25" s="11">
        <f t="shared" si="6"/>
        <v>170216.98283049764</v>
      </c>
      <c r="K25" s="11">
        <f t="shared" si="6"/>
        <v>165222.27106653675</v>
      </c>
      <c r="L25" s="11">
        <f t="shared" si="6"/>
        <v>142615.78249633676</v>
      </c>
      <c r="M25" s="11">
        <f t="shared" si="6"/>
        <v>102408.90764624061</v>
      </c>
      <c r="N25" s="1"/>
      <c r="O25" s="11"/>
    </row>
    <row r="26" spans="1:15" x14ac:dyDescent="0.25">
      <c r="A26" s="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"/>
      <c r="O26" s="11"/>
    </row>
    <row r="27" spans="1:15" x14ac:dyDescent="0.25">
      <c r="A27" s="7" t="s">
        <v>42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"/>
      <c r="O27" s="11"/>
    </row>
    <row r="28" spans="1:15" x14ac:dyDescent="0.25">
      <c r="A28" s="7" t="s">
        <v>16</v>
      </c>
      <c r="B28" s="102">
        <v>5.4899999999999997E-2</v>
      </c>
      <c r="C28" s="102">
        <v>5.4899999999999997E-2</v>
      </c>
      <c r="D28" s="102">
        <v>5.4899999999999997E-2</v>
      </c>
      <c r="E28" s="102">
        <v>5.4899999999999997E-2</v>
      </c>
      <c r="F28" s="102">
        <v>5.4899999999999997E-2</v>
      </c>
      <c r="G28" s="102">
        <v>5.4899999999999997E-2</v>
      </c>
      <c r="H28" s="102">
        <v>5.1999999999999998E-2</v>
      </c>
      <c r="I28" s="102">
        <v>5.1999999999999998E-2</v>
      </c>
      <c r="J28" s="102">
        <v>5.1999999999999998E-2</v>
      </c>
      <c r="K28" s="102">
        <v>4.3999999999999997E-2</v>
      </c>
      <c r="L28" s="102">
        <v>4.3999999999999997E-2</v>
      </c>
      <c r="M28" s="102">
        <v>4.3999999999999997E-2</v>
      </c>
      <c r="N28" s="1"/>
      <c r="O28" s="43">
        <f>(Summary!D3+Summary!E3+Summary!F3+Summary!G3)/4</f>
        <v>3.1550000000000002E-2</v>
      </c>
    </row>
    <row r="29" spans="1:15" x14ac:dyDescent="0.25">
      <c r="A29" s="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"/>
      <c r="O29" s="11"/>
    </row>
    <row r="30" spans="1:15" x14ac:dyDescent="0.25">
      <c r="A30" s="7" t="s">
        <v>17</v>
      </c>
      <c r="B30" s="41">
        <v>0</v>
      </c>
      <c r="C30" s="41">
        <f>B32</f>
        <v>0</v>
      </c>
      <c r="D30" s="41">
        <f t="shared" ref="D30:M30" si="7">C32</f>
        <v>-182.46347340695786</v>
      </c>
      <c r="E30" s="41">
        <f t="shared" si="7"/>
        <v>-445.56995890396661</v>
      </c>
      <c r="F30" s="41">
        <f t="shared" si="7"/>
        <v>-751.4890498014222</v>
      </c>
      <c r="G30" s="41">
        <f t="shared" si="7"/>
        <v>-759.85238150249415</v>
      </c>
      <c r="H30" s="41">
        <f t="shared" si="7"/>
        <v>-620.14516504355606</v>
      </c>
      <c r="I30" s="41">
        <f t="shared" si="7"/>
        <v>-318.8840947877531</v>
      </c>
      <c r="J30" s="41">
        <f t="shared" si="7"/>
        <v>146.47989191370181</v>
      </c>
      <c r="K30" s="41">
        <f t="shared" si="7"/>
        <v>760.05461033904226</v>
      </c>
      <c r="L30" s="41">
        <f t="shared" si="7"/>
        <v>1384.1835473842002</v>
      </c>
      <c r="M30" s="41">
        <f t="shared" si="7"/>
        <v>1989.9985412948349</v>
      </c>
      <c r="N30" s="1"/>
      <c r="O30" s="41">
        <f t="shared" ref="O30" si="8">M32</f>
        <v>2512.9230771147363</v>
      </c>
    </row>
    <row r="31" spans="1:15" x14ac:dyDescent="0.25">
      <c r="A31" s="7" t="s">
        <v>18</v>
      </c>
      <c r="B31" s="36">
        <f t="shared" ref="B31:M31" si="9">B23*B28/12</f>
        <v>0</v>
      </c>
      <c r="C31" s="36">
        <f t="shared" si="9"/>
        <v>-182.46347340695786</v>
      </c>
      <c r="D31" s="36">
        <f t="shared" si="9"/>
        <v>-263.10648549700875</v>
      </c>
      <c r="E31" s="36">
        <f t="shared" si="9"/>
        <v>-305.91909089745559</v>
      </c>
      <c r="F31" s="36">
        <f t="shared" si="9"/>
        <v>-8.3633317010719761</v>
      </c>
      <c r="G31" s="36">
        <f t="shared" si="9"/>
        <v>139.70721645893803</v>
      </c>
      <c r="H31" s="36">
        <f t="shared" si="9"/>
        <v>301.26107025580296</v>
      </c>
      <c r="I31" s="36">
        <f t="shared" si="9"/>
        <v>465.36398670145491</v>
      </c>
      <c r="J31" s="36">
        <f t="shared" si="9"/>
        <v>613.57471842534039</v>
      </c>
      <c r="K31" s="36">
        <f t="shared" si="9"/>
        <v>624.12893704515795</v>
      </c>
      <c r="L31" s="36">
        <f t="shared" si="9"/>
        <v>605.81499391063471</v>
      </c>
      <c r="M31" s="36">
        <f t="shared" si="9"/>
        <v>522.92453581990139</v>
      </c>
      <c r="N31" s="1"/>
      <c r="O31" s="36">
        <f>M25*O28</f>
        <v>3231.0010362388912</v>
      </c>
    </row>
    <row r="32" spans="1:15" x14ac:dyDescent="0.25">
      <c r="A32" s="42" t="s">
        <v>19</v>
      </c>
      <c r="B32" s="15">
        <f>SUM(B30:B31)</f>
        <v>0</v>
      </c>
      <c r="C32" s="15">
        <f t="shared" ref="C32:M32" si="10">SUM(C30:C31)</f>
        <v>-182.46347340695786</v>
      </c>
      <c r="D32" s="15">
        <f t="shared" si="10"/>
        <v>-445.56995890396661</v>
      </c>
      <c r="E32" s="15">
        <f t="shared" si="10"/>
        <v>-751.4890498014222</v>
      </c>
      <c r="F32" s="15">
        <f t="shared" si="10"/>
        <v>-759.85238150249415</v>
      </c>
      <c r="G32" s="15">
        <f t="shared" si="10"/>
        <v>-620.14516504355606</v>
      </c>
      <c r="H32" s="15">
        <f t="shared" si="10"/>
        <v>-318.8840947877531</v>
      </c>
      <c r="I32" s="15">
        <f t="shared" si="10"/>
        <v>146.47989191370181</v>
      </c>
      <c r="J32" s="15">
        <f t="shared" si="10"/>
        <v>760.05461033904226</v>
      </c>
      <c r="K32" s="15">
        <f t="shared" si="10"/>
        <v>1384.1835473842002</v>
      </c>
      <c r="L32" s="15">
        <f t="shared" si="10"/>
        <v>1989.9985412948349</v>
      </c>
      <c r="M32" s="15">
        <f t="shared" si="10"/>
        <v>2512.9230771147363</v>
      </c>
      <c r="N32" s="1"/>
      <c r="O32" s="15">
        <f>SUM(O30:O31)</f>
        <v>5743.924113353627</v>
      </c>
    </row>
    <row r="33" spans="1:15" x14ac:dyDescent="0.25">
      <c r="A33" s="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O33" s="34"/>
    </row>
    <row r="34" spans="1:15" x14ac:dyDescent="0.25">
      <c r="E34" s="17"/>
      <c r="F34" s="17"/>
      <c r="G34" s="17"/>
      <c r="H34" s="17"/>
      <c r="I34" s="17"/>
    </row>
    <row r="35" spans="1:15" x14ac:dyDescent="0.25">
      <c r="A35" s="16" t="s">
        <v>68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5" ht="45" x14ac:dyDescent="0.25">
      <c r="A36" s="18"/>
      <c r="B36" s="18" t="s">
        <v>71</v>
      </c>
      <c r="C36" s="18" t="s">
        <v>83</v>
      </c>
      <c r="D36" s="18" t="s">
        <v>88</v>
      </c>
      <c r="E36" s="17"/>
      <c r="F36" s="17"/>
      <c r="G36" s="17"/>
      <c r="H36" s="17"/>
      <c r="I36" s="17"/>
      <c r="J36" s="19"/>
      <c r="K36" s="19"/>
      <c r="L36" s="17"/>
    </row>
    <row r="37" spans="1:15" x14ac:dyDescent="0.25">
      <c r="A37" s="76" t="s">
        <v>69</v>
      </c>
      <c r="B37" s="77">
        <f>M25</f>
        <v>102408.90764624061</v>
      </c>
      <c r="C37" s="77"/>
      <c r="D37" s="77">
        <f>B37+C37</f>
        <v>102408.90764624061</v>
      </c>
      <c r="E37" s="17"/>
      <c r="F37" s="17"/>
      <c r="G37" s="17"/>
      <c r="H37" s="17"/>
      <c r="I37" s="17"/>
      <c r="J37" s="17"/>
      <c r="K37" s="17"/>
      <c r="L37" s="17"/>
    </row>
    <row r="38" spans="1:15" x14ac:dyDescent="0.25">
      <c r="A38" s="20" t="s">
        <v>70</v>
      </c>
      <c r="B38" s="81">
        <f>M32</f>
        <v>2512.9230771147363</v>
      </c>
      <c r="C38" s="81">
        <f>O31</f>
        <v>3231.0010362388912</v>
      </c>
      <c r="D38" s="81">
        <f t="shared" ref="D38:D39" si="11">B38+C38</f>
        <v>5743.924113353627</v>
      </c>
      <c r="E38" s="17"/>
      <c r="F38" s="17"/>
      <c r="G38" s="17"/>
      <c r="H38" s="17"/>
      <c r="I38" s="17"/>
      <c r="J38" s="25"/>
      <c r="K38" s="25"/>
      <c r="L38" s="17"/>
    </row>
    <row r="39" spans="1:15" x14ac:dyDescent="0.25">
      <c r="A39" s="26" t="s">
        <v>20</v>
      </c>
      <c r="B39" s="78">
        <f>B38+B37</f>
        <v>104921.83072335535</v>
      </c>
      <c r="C39" s="78">
        <f t="shared" ref="C39" si="12">C38+C37</f>
        <v>3231.0010362388912</v>
      </c>
      <c r="D39" s="78">
        <f t="shared" si="11"/>
        <v>108152.83175959424</v>
      </c>
      <c r="E39" s="17"/>
      <c r="F39" s="17"/>
      <c r="G39" s="17"/>
      <c r="H39" s="17"/>
      <c r="I39" s="17"/>
      <c r="J39" s="17"/>
      <c r="K39" s="17"/>
      <c r="L39" s="17"/>
    </row>
    <row r="40" spans="1:1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2" spans="1:15" x14ac:dyDescent="0.25">
      <c r="A42" s="16" t="s">
        <v>110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5" x14ac:dyDescent="0.25">
      <c r="A43" s="18"/>
      <c r="B43" s="18" t="s">
        <v>21</v>
      </c>
      <c r="C43" s="18" t="s">
        <v>22</v>
      </c>
      <c r="D43" s="18" t="s">
        <v>32</v>
      </c>
      <c r="E43" s="18" t="s">
        <v>23</v>
      </c>
      <c r="F43" s="18" t="s">
        <v>24</v>
      </c>
      <c r="G43" s="18" t="s">
        <v>25</v>
      </c>
      <c r="H43" s="18" t="s">
        <v>26</v>
      </c>
      <c r="I43" s="19"/>
      <c r="J43" s="19"/>
      <c r="K43" s="19"/>
      <c r="L43" s="17"/>
    </row>
    <row r="44" spans="1:15" ht="16.5" x14ac:dyDescent="0.25">
      <c r="A44" s="20" t="s">
        <v>31</v>
      </c>
      <c r="B44" s="21" t="s">
        <v>34</v>
      </c>
      <c r="C44" s="22">
        <f>SUM(D44:H44)</f>
        <v>33370.791749901291</v>
      </c>
      <c r="D44" s="22">
        <f>'Load Forecast'!F7/1000</f>
        <v>27408.732994604892</v>
      </c>
      <c r="E44" s="22">
        <f>'Load Forecast'!G7/1000</f>
        <v>1094.6096003819746</v>
      </c>
      <c r="F44" s="22">
        <f>'Load Forecast'!H7/1000</f>
        <v>2875.0980647073557</v>
      </c>
      <c r="G44" s="22">
        <f>'Load Forecast'!I7/1000</f>
        <v>1488.3887902070692</v>
      </c>
      <c r="H44" s="22">
        <f>'Load Forecast'!J7/1000</f>
        <v>503.96229999999997</v>
      </c>
      <c r="I44" s="17"/>
      <c r="J44" s="17"/>
      <c r="K44" s="17"/>
      <c r="L44" s="17"/>
    </row>
    <row r="45" spans="1:15" x14ac:dyDescent="0.25">
      <c r="A45" s="20" t="s">
        <v>29</v>
      </c>
      <c r="B45" s="23" t="s">
        <v>27</v>
      </c>
      <c r="C45" s="24">
        <f>SUM(D45:H45)</f>
        <v>1</v>
      </c>
      <c r="D45" s="24">
        <f>D44/$C$44</f>
        <v>0.82133900807690507</v>
      </c>
      <c r="E45" s="24">
        <f t="shared" ref="E45:H45" si="13">E44/$C$44</f>
        <v>3.2801427325595663E-2</v>
      </c>
      <c r="F45" s="24">
        <f t="shared" si="13"/>
        <v>8.6156123781985491E-2</v>
      </c>
      <c r="G45" s="24">
        <f t="shared" si="13"/>
        <v>4.4601542611330813E-2</v>
      </c>
      <c r="H45" s="24">
        <f t="shared" si="13"/>
        <v>1.5101898204183024E-2</v>
      </c>
      <c r="I45" s="25"/>
      <c r="J45" s="25"/>
      <c r="K45" s="25"/>
      <c r="L45" s="17"/>
    </row>
    <row r="46" spans="1:15" x14ac:dyDescent="0.25">
      <c r="A46" s="26" t="s">
        <v>20</v>
      </c>
      <c r="B46" s="27" t="s">
        <v>28</v>
      </c>
      <c r="C46" s="28">
        <f>SUM(D46:H46)</f>
        <v>108152.83175959425</v>
      </c>
      <c r="D46" s="28">
        <f>D45*($O$32+$M$25)</f>
        <v>88830.139558133524</v>
      </c>
      <c r="E46" s="28">
        <f t="shared" ref="E46:H46" si="14">E45*($O$32+$M$25)</f>
        <v>3547.5672510197046</v>
      </c>
      <c r="F46" s="28">
        <f t="shared" si="14"/>
        <v>9318.0287604518526</v>
      </c>
      <c r="G46" s="28">
        <f t="shared" si="14"/>
        <v>4823.7831342616346</v>
      </c>
      <c r="H46" s="28">
        <f t="shared" si="14"/>
        <v>1633.3130557275249</v>
      </c>
      <c r="I46" s="17"/>
      <c r="J46" s="17"/>
      <c r="K46" s="17"/>
      <c r="L46" s="17"/>
    </row>
    <row r="47" spans="1:1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9" spans="1:8" x14ac:dyDescent="0.25">
      <c r="A49" s="16" t="s">
        <v>111</v>
      </c>
      <c r="B49" s="17"/>
      <c r="C49" s="17"/>
      <c r="D49" s="17"/>
      <c r="E49" s="17"/>
      <c r="F49" s="17"/>
      <c r="G49" s="17"/>
      <c r="H49" s="17"/>
    </row>
    <row r="50" spans="1:8" x14ac:dyDescent="0.25">
      <c r="A50" s="18"/>
      <c r="B50" s="18" t="s">
        <v>21</v>
      </c>
      <c r="C50" s="18" t="s">
        <v>22</v>
      </c>
      <c r="D50" s="18" t="s">
        <v>32</v>
      </c>
      <c r="E50" s="18" t="s">
        <v>23</v>
      </c>
      <c r="F50" s="18" t="s">
        <v>24</v>
      </c>
      <c r="G50" s="18" t="s">
        <v>25</v>
      </c>
      <c r="H50" s="18" t="s">
        <v>26</v>
      </c>
    </row>
    <row r="51" spans="1:8" ht="16.5" x14ac:dyDescent="0.25">
      <c r="A51" s="20" t="s">
        <v>31</v>
      </c>
      <c r="B51" s="21" t="s">
        <v>34</v>
      </c>
      <c r="C51" s="22">
        <f>SUM(D51:H51)</f>
        <v>33370.791749901291</v>
      </c>
      <c r="D51" s="22">
        <f>'Load Forecast'!F7/1000</f>
        <v>27408.732994604892</v>
      </c>
      <c r="E51" s="22">
        <f>'Load Forecast'!G7/1000</f>
        <v>1094.6096003819746</v>
      </c>
      <c r="F51" s="22">
        <f>'Load Forecast'!H7/1000</f>
        <v>2875.0980647073557</v>
      </c>
      <c r="G51" s="22">
        <f>'Load Forecast'!I7/1000</f>
        <v>1488.3887902070692</v>
      </c>
      <c r="H51" s="22">
        <f>'Load Forecast'!J7/1000</f>
        <v>503.96229999999997</v>
      </c>
    </row>
    <row r="52" spans="1:8" x14ac:dyDescent="0.25">
      <c r="A52" s="20" t="s">
        <v>29</v>
      </c>
      <c r="B52" s="23" t="s">
        <v>27</v>
      </c>
      <c r="C52" s="24">
        <f>SUM(D52:H52)</f>
        <v>1</v>
      </c>
      <c r="D52" s="29">
        <f t="shared" ref="D52:H52" si="15">D45</f>
        <v>0.82133900807690507</v>
      </c>
      <c r="E52" s="29">
        <f t="shared" si="15"/>
        <v>3.2801427325595663E-2</v>
      </c>
      <c r="F52" s="29">
        <f t="shared" si="15"/>
        <v>8.6156123781985491E-2</v>
      </c>
      <c r="G52" s="29">
        <f t="shared" si="15"/>
        <v>4.4601542611330813E-2</v>
      </c>
      <c r="H52" s="29">
        <f t="shared" si="15"/>
        <v>1.5101898204183024E-2</v>
      </c>
    </row>
    <row r="53" spans="1:8" x14ac:dyDescent="0.25">
      <c r="A53" s="30" t="s">
        <v>20</v>
      </c>
      <c r="B53" s="31" t="s">
        <v>28</v>
      </c>
      <c r="C53" s="82">
        <f>SUM(D53:H53)</f>
        <v>108152.83175959425</v>
      </c>
      <c r="D53" s="32">
        <f>D51*D54*10</f>
        <v>88830.139558133524</v>
      </c>
      <c r="E53" s="32">
        <f t="shared" ref="E53:H53" si="16">E51*E54*10</f>
        <v>3547.5672510197041</v>
      </c>
      <c r="F53" s="32">
        <f t="shared" si="16"/>
        <v>9318.0287604518544</v>
      </c>
      <c r="G53" s="32">
        <f t="shared" si="16"/>
        <v>4823.7831342616346</v>
      </c>
      <c r="H53" s="32">
        <f t="shared" si="16"/>
        <v>1633.3130557275249</v>
      </c>
    </row>
    <row r="54" spans="1:8" ht="17.25" x14ac:dyDescent="0.25">
      <c r="A54" s="26" t="s">
        <v>30</v>
      </c>
      <c r="B54" s="27" t="s">
        <v>35</v>
      </c>
      <c r="C54" s="33"/>
      <c r="D54" s="33">
        <f>D46/D51/10</f>
        <v>0.32409429350717806</v>
      </c>
      <c r="E54" s="33">
        <f t="shared" ref="E54:H54" si="17">E46/E51/10</f>
        <v>0.32409429350717794</v>
      </c>
      <c r="F54" s="33">
        <f t="shared" si="17"/>
        <v>0.32409429350717806</v>
      </c>
      <c r="G54" s="33">
        <f t="shared" si="17"/>
        <v>0.324094293507178</v>
      </c>
      <c r="H54" s="33">
        <f t="shared" si="17"/>
        <v>0.324094293507178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54"/>
  <sheetViews>
    <sheetView showGridLines="0" zoomScale="85" zoomScaleNormal="85" zoomScaleSheetLayoutView="8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50" sqref="A50:H54"/>
    </sheetView>
  </sheetViews>
  <sheetFormatPr defaultColWidth="9.140625" defaultRowHeight="14.25" x14ac:dyDescent="0.2"/>
  <cols>
    <col min="1" max="1" width="44.5703125" style="47" customWidth="1"/>
    <col min="2" max="6" width="11.7109375" style="47" bestFit="1" customWidth="1"/>
    <col min="7" max="8" width="10.7109375" style="47" bestFit="1" customWidth="1"/>
    <col min="9" max="13" width="11.7109375" style="47" bestFit="1" customWidth="1"/>
    <col min="14" max="18" width="11.7109375" style="47" customWidth="1"/>
    <col min="19" max="19" width="10.7109375" style="47" customWidth="1"/>
    <col min="20" max="21" width="10" style="47" customWidth="1"/>
    <col min="22" max="25" width="11.7109375" style="47" customWidth="1"/>
    <col min="26" max="26" width="11.7109375" style="47" customWidth="1" collapsed="1"/>
    <col min="27" max="30" width="11.7109375" style="47" customWidth="1"/>
    <col min="31" max="31" width="11" style="47" customWidth="1"/>
    <col min="32" max="32" width="10.7109375" style="47" customWidth="1"/>
    <col min="33" max="33" width="10" style="47" customWidth="1"/>
    <col min="34" max="37" width="11.7109375" style="47" customWidth="1"/>
    <col min="38" max="42" width="11.7109375" style="47" bestFit="1" customWidth="1"/>
    <col min="43" max="43" width="10" style="47" bestFit="1" customWidth="1"/>
    <col min="44" max="44" width="10.7109375" style="47" bestFit="1" customWidth="1"/>
    <col min="45" max="48" width="11.7109375" style="47" bestFit="1" customWidth="1"/>
    <col min="49" max="49" width="12.140625" style="47" bestFit="1" customWidth="1"/>
    <col min="50" max="50" width="10" style="47" bestFit="1" customWidth="1"/>
    <col min="51" max="51" width="9.28515625" style="47" bestFit="1" customWidth="1"/>
    <col min="52" max="16384" width="9.140625" style="47"/>
  </cols>
  <sheetData>
    <row r="1" spans="1:15" ht="15" x14ac:dyDescent="0.25">
      <c r="A1" s="2" t="str">
        <f>PGTVA!A1</f>
        <v>EPCOR Natural Gas Limited Partnership</v>
      </c>
    </row>
    <row r="2" spans="1:15" ht="15" x14ac:dyDescent="0.25">
      <c r="A2" s="2" t="str">
        <f>PGTVA!A2</f>
        <v>EB-2025-0177</v>
      </c>
    </row>
    <row r="3" spans="1:15" ht="15" x14ac:dyDescent="0.25">
      <c r="A3" s="2" t="s">
        <v>77</v>
      </c>
    </row>
    <row r="4" spans="1:15" ht="15" x14ac:dyDescent="0.25">
      <c r="A4" s="2" t="str">
        <f>PGTVA!A4</f>
        <v>Continuity Schedule</v>
      </c>
    </row>
    <row r="5" spans="1:15" ht="15" x14ac:dyDescent="0.25">
      <c r="A5" s="50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2025</v>
      </c>
    </row>
    <row r="6" spans="1:15" ht="15" x14ac:dyDescent="0.25">
      <c r="A6" s="51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6" t="s">
        <v>48</v>
      </c>
    </row>
    <row r="7" spans="1:15" ht="15" x14ac:dyDescent="0.25">
      <c r="A7" s="57" t="s">
        <v>49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5" x14ac:dyDescent="0.2">
      <c r="A8" s="112" t="s">
        <v>50</v>
      </c>
      <c r="B8" s="53">
        <v>3066203.2</v>
      </c>
      <c r="C8" s="53">
        <v>2269105.7999999998</v>
      </c>
      <c r="D8" s="53">
        <v>1859540.8</v>
      </c>
      <c r="E8" s="53">
        <v>935012.1</v>
      </c>
      <c r="F8" s="53">
        <v>290840.90000000002</v>
      </c>
      <c r="G8" s="53">
        <v>196032.4</v>
      </c>
      <c r="H8" s="53">
        <v>232351.2</v>
      </c>
      <c r="I8" s="53">
        <v>344933.7</v>
      </c>
      <c r="J8" s="53">
        <v>360571.5</v>
      </c>
      <c r="K8" s="53">
        <v>1383906.5</v>
      </c>
      <c r="L8" s="53">
        <v>2099411.7000000002</v>
      </c>
      <c r="M8" s="53">
        <v>2677006.2000000002</v>
      </c>
      <c r="N8" s="51"/>
    </row>
    <row r="9" spans="1:15" x14ac:dyDescent="0.2">
      <c r="A9" s="112" t="s">
        <v>51</v>
      </c>
      <c r="B9" s="53">
        <v>81225.61</v>
      </c>
      <c r="C9" s="53">
        <v>78013.8</v>
      </c>
      <c r="D9" s="53">
        <v>81591.88</v>
      </c>
      <c r="E9" s="53">
        <v>76548.73</v>
      </c>
      <c r="F9" s="53">
        <v>71900.02</v>
      </c>
      <c r="G9" s="53">
        <v>69477.06</v>
      </c>
      <c r="H9" s="53">
        <v>63504.17</v>
      </c>
      <c r="I9" s="53">
        <v>70463.149999999994</v>
      </c>
      <c r="J9" s="53">
        <v>50234.22</v>
      </c>
      <c r="K9" s="53">
        <v>49191.79</v>
      </c>
      <c r="L9" s="53">
        <v>49107.26</v>
      </c>
      <c r="M9" s="53">
        <v>48318.39</v>
      </c>
      <c r="N9" s="51"/>
    </row>
    <row r="10" spans="1:15" x14ac:dyDescent="0.2">
      <c r="A10" s="112" t="s">
        <v>52</v>
      </c>
      <c r="B10" s="53">
        <v>1251214.96</v>
      </c>
      <c r="C10" s="53">
        <v>1081228.01</v>
      </c>
      <c r="D10" s="53">
        <v>1070354.28</v>
      </c>
      <c r="E10" s="53">
        <v>666072.47</v>
      </c>
      <c r="F10" s="53">
        <v>309561.44</v>
      </c>
      <c r="G10" s="53">
        <v>194113.04</v>
      </c>
      <c r="H10" s="53">
        <v>0</v>
      </c>
      <c r="I10" s="53">
        <v>0</v>
      </c>
      <c r="J10" s="53">
        <v>269294.67</v>
      </c>
      <c r="K10" s="53">
        <v>584944.27</v>
      </c>
      <c r="L10" s="53">
        <v>678900.08</v>
      </c>
      <c r="M10" s="53">
        <v>807289.35</v>
      </c>
      <c r="N10" s="51"/>
    </row>
    <row r="11" spans="1:15" x14ac:dyDescent="0.2">
      <c r="A11" s="112" t="s">
        <v>53</v>
      </c>
      <c r="B11" s="53">
        <v>265145.42</v>
      </c>
      <c r="C11" s="53">
        <v>259116.19</v>
      </c>
      <c r="D11" s="53">
        <v>361584.99</v>
      </c>
      <c r="E11" s="53">
        <v>318337.90999999997</v>
      </c>
      <c r="F11" s="53">
        <v>300222.03999999998</v>
      </c>
      <c r="G11" s="53">
        <v>238464.65</v>
      </c>
      <c r="H11" s="53">
        <v>403761.45</v>
      </c>
      <c r="I11" s="53">
        <v>423652.29</v>
      </c>
      <c r="J11" s="53">
        <v>360683.42</v>
      </c>
      <c r="K11" s="53">
        <v>415228.26</v>
      </c>
      <c r="L11" s="53">
        <v>448220.01</v>
      </c>
      <c r="M11" s="53">
        <v>397704.04</v>
      </c>
      <c r="N11" s="51"/>
    </row>
    <row r="12" spans="1:15" x14ac:dyDescent="0.2">
      <c r="A12" s="112" t="s">
        <v>89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>
        <v>0</v>
      </c>
      <c r="M12" s="53">
        <v>179793</v>
      </c>
      <c r="N12" s="51"/>
    </row>
    <row r="13" spans="1:15" x14ac:dyDescent="0.2">
      <c r="A13" s="112" t="s">
        <v>54</v>
      </c>
      <c r="B13" s="54">
        <v>535670.69999999995</v>
      </c>
      <c r="C13" s="54">
        <v>440321.5</v>
      </c>
      <c r="D13" s="54">
        <v>335550.2</v>
      </c>
      <c r="E13" s="54">
        <v>282309</v>
      </c>
      <c r="F13" s="54">
        <v>132831.9</v>
      </c>
      <c r="G13" s="54">
        <v>109602</v>
      </c>
      <c r="H13" s="54">
        <v>135956.70000000001</v>
      </c>
      <c r="I13" s="54">
        <v>169222.8</v>
      </c>
      <c r="J13" s="54">
        <v>254073</v>
      </c>
      <c r="K13" s="54">
        <v>458803.1</v>
      </c>
      <c r="L13" s="54">
        <v>607827</v>
      </c>
      <c r="M13" s="54">
        <v>725874.3</v>
      </c>
      <c r="N13" s="51"/>
    </row>
    <row r="14" spans="1:15" ht="15" x14ac:dyDescent="0.25">
      <c r="A14" s="112" t="s">
        <v>114</v>
      </c>
      <c r="B14" s="53">
        <f t="shared" ref="B14:M14" si="0">SUM(B8:B13)</f>
        <v>5199459.8899999997</v>
      </c>
      <c r="C14" s="53">
        <f t="shared" si="0"/>
        <v>4127785.2999999993</v>
      </c>
      <c r="D14" s="53">
        <f t="shared" si="0"/>
        <v>3708622.1500000004</v>
      </c>
      <c r="E14" s="53">
        <f t="shared" si="0"/>
        <v>2278280.21</v>
      </c>
      <c r="F14" s="53">
        <f t="shared" si="0"/>
        <v>1105356.3</v>
      </c>
      <c r="G14" s="53">
        <f t="shared" si="0"/>
        <v>807689.15</v>
      </c>
      <c r="H14" s="53">
        <f t="shared" si="0"/>
        <v>835573.52</v>
      </c>
      <c r="I14" s="53">
        <f t="shared" si="0"/>
        <v>1008271.94</v>
      </c>
      <c r="J14" s="53">
        <f t="shared" si="0"/>
        <v>1294856.8099999998</v>
      </c>
      <c r="K14" s="53">
        <f t="shared" si="0"/>
        <v>2892073.9200000004</v>
      </c>
      <c r="L14" s="53">
        <f t="shared" si="0"/>
        <v>3883466.05</v>
      </c>
      <c r="M14" s="53">
        <f t="shared" si="0"/>
        <v>4835985.28</v>
      </c>
      <c r="N14" s="51"/>
      <c r="O14" s="48"/>
    </row>
    <row r="15" spans="1:15" ht="8.25" customHeight="1" x14ac:dyDescent="0.2">
      <c r="A15" s="9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1"/>
    </row>
    <row r="16" spans="1:15" ht="15" x14ac:dyDescent="0.25">
      <c r="A16" s="92" t="s">
        <v>115</v>
      </c>
      <c r="B16" s="53">
        <v>4463724.5793587388</v>
      </c>
      <c r="C16" s="53">
        <v>4133696.0072744354</v>
      </c>
      <c r="D16" s="53">
        <v>3720204.5696617081</v>
      </c>
      <c r="E16" s="53">
        <v>2541368.758950592</v>
      </c>
      <c r="F16" s="53">
        <v>1037470.118214619</v>
      </c>
      <c r="G16" s="53">
        <v>903007.62216031493</v>
      </c>
      <c r="H16" s="53">
        <v>894139.07450151001</v>
      </c>
      <c r="I16" s="53">
        <v>1039906.0133284907</v>
      </c>
      <c r="J16" s="53">
        <v>1357536.5892525935</v>
      </c>
      <c r="K16" s="53">
        <v>2765408.7801923244</v>
      </c>
      <c r="L16" s="53">
        <v>4019308.8537524072</v>
      </c>
      <c r="M16" s="53">
        <v>4431070.3697031215</v>
      </c>
      <c r="N16" s="51"/>
      <c r="O16" s="48"/>
    </row>
    <row r="17" spans="1:14" ht="15" x14ac:dyDescent="0.25">
      <c r="A17" s="92" t="s">
        <v>116</v>
      </c>
      <c r="B17" s="55">
        <f t="shared" ref="B17:M17" si="1">B14-B16</f>
        <v>735735.31064126082</v>
      </c>
      <c r="C17" s="55">
        <f t="shared" si="1"/>
        <v>-5910.7072744360194</v>
      </c>
      <c r="D17" s="55">
        <f t="shared" si="1"/>
        <v>-11582.41966170771</v>
      </c>
      <c r="E17" s="55">
        <f t="shared" si="1"/>
        <v>-263088.54895059206</v>
      </c>
      <c r="F17" s="55">
        <f t="shared" si="1"/>
        <v>67886.18178538105</v>
      </c>
      <c r="G17" s="55">
        <f t="shared" si="1"/>
        <v>-95318.472160314908</v>
      </c>
      <c r="H17" s="55">
        <f t="shared" si="1"/>
        <v>-58565.554501509992</v>
      </c>
      <c r="I17" s="55">
        <f t="shared" si="1"/>
        <v>-31634.073328490718</v>
      </c>
      <c r="J17" s="55">
        <f t="shared" si="1"/>
        <v>-62679.779252593638</v>
      </c>
      <c r="K17" s="55">
        <f t="shared" si="1"/>
        <v>126665.13980767597</v>
      </c>
      <c r="L17" s="55">
        <f t="shared" si="1"/>
        <v>-135842.80375240743</v>
      </c>
      <c r="M17" s="55">
        <f t="shared" si="1"/>
        <v>404914.91029687878</v>
      </c>
      <c r="N17" s="51"/>
    </row>
    <row r="18" spans="1:14" x14ac:dyDescent="0.2">
      <c r="A18" s="9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1"/>
    </row>
    <row r="19" spans="1:14" ht="15" x14ac:dyDescent="0.25">
      <c r="A19" s="92" t="s">
        <v>117</v>
      </c>
      <c r="B19" s="56">
        <v>0.19031700000000001</v>
      </c>
      <c r="C19" s="56">
        <v>0.19031700000000001</v>
      </c>
      <c r="D19" s="56">
        <v>0.19031700000000001</v>
      </c>
      <c r="E19" s="56">
        <v>0.11120799999999999</v>
      </c>
      <c r="F19" s="56">
        <v>0.11120799999999999</v>
      </c>
      <c r="G19" s="56">
        <v>0.11120799999999999</v>
      </c>
      <c r="H19" s="56">
        <v>0.13051399999999999</v>
      </c>
      <c r="I19" s="56">
        <v>0.13051399999999999</v>
      </c>
      <c r="J19" s="56">
        <v>0.13051399999999999</v>
      </c>
      <c r="K19" s="56">
        <v>0.123013</v>
      </c>
      <c r="L19" s="56">
        <v>0.123013</v>
      </c>
      <c r="M19" s="56">
        <v>0.123013</v>
      </c>
      <c r="N19" s="51"/>
    </row>
    <row r="20" spans="1:14" ht="15" x14ac:dyDescent="0.25">
      <c r="A20" s="92" t="s">
        <v>118</v>
      </c>
      <c r="B20" s="55">
        <f t="shared" ref="B20:M20" si="2">B17*B19</f>
        <v>140022.93711531284</v>
      </c>
      <c r="C20" s="55">
        <f t="shared" si="2"/>
        <v>-1124.90807634884</v>
      </c>
      <c r="D20" s="55">
        <f t="shared" si="2"/>
        <v>-2204.3313627572265</v>
      </c>
      <c r="E20" s="55">
        <f t="shared" si="2"/>
        <v>-29257.551351697439</v>
      </c>
      <c r="F20" s="55">
        <f t="shared" si="2"/>
        <v>7549.4865039886554</v>
      </c>
      <c r="G20" s="55">
        <f t="shared" si="2"/>
        <v>-10600.176652004298</v>
      </c>
      <c r="H20" s="55">
        <f t="shared" si="2"/>
        <v>-7643.6247802100743</v>
      </c>
      <c r="I20" s="55">
        <f t="shared" si="2"/>
        <v>-4128.6894463946373</v>
      </c>
      <c r="J20" s="55">
        <f t="shared" si="2"/>
        <v>-8180.5887093730053</v>
      </c>
      <c r="K20" s="55">
        <f t="shared" si="2"/>
        <v>15581.458843161643</v>
      </c>
      <c r="L20" s="55">
        <f t="shared" si="2"/>
        <v>-16710.430817994897</v>
      </c>
      <c r="M20" s="55">
        <f t="shared" si="2"/>
        <v>49809.79786034995</v>
      </c>
      <c r="N20" s="51"/>
    </row>
    <row r="21" spans="1:14" x14ac:dyDescent="0.2">
      <c r="A21" s="9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1"/>
    </row>
    <row r="22" spans="1:14" x14ac:dyDescent="0.2">
      <c r="A22" s="92" t="s">
        <v>55</v>
      </c>
      <c r="B22" s="99">
        <v>0</v>
      </c>
      <c r="C22" s="99">
        <f t="shared" ref="C22:M22" si="3">B24</f>
        <v>140022.93711531284</v>
      </c>
      <c r="D22" s="99">
        <f t="shared" si="3"/>
        <v>138898.02903896401</v>
      </c>
      <c r="E22" s="99">
        <f t="shared" si="3"/>
        <v>136693.69767620679</v>
      </c>
      <c r="F22" s="99">
        <f t="shared" si="3"/>
        <v>107436.14632450935</v>
      </c>
      <c r="G22" s="99">
        <f t="shared" si="3"/>
        <v>114985.632828498</v>
      </c>
      <c r="H22" s="99">
        <f t="shared" si="3"/>
        <v>104385.4561764937</v>
      </c>
      <c r="I22" s="99">
        <f t="shared" si="3"/>
        <v>96741.831396283626</v>
      </c>
      <c r="J22" s="99">
        <f t="shared" si="3"/>
        <v>92613.141949888988</v>
      </c>
      <c r="K22" s="99">
        <f t="shared" si="3"/>
        <v>84432.55324051599</v>
      </c>
      <c r="L22" s="99">
        <f t="shared" si="3"/>
        <v>100014.01208367763</v>
      </c>
      <c r="M22" s="99">
        <f t="shared" si="3"/>
        <v>83303.581265682733</v>
      </c>
      <c r="N22" s="51"/>
    </row>
    <row r="23" spans="1:14" ht="15" x14ac:dyDescent="0.25">
      <c r="A23" s="92" t="s">
        <v>119</v>
      </c>
      <c r="B23" s="99">
        <f t="shared" ref="B23:M23" si="4">B20</f>
        <v>140022.93711531284</v>
      </c>
      <c r="C23" s="99">
        <f t="shared" si="4"/>
        <v>-1124.90807634884</v>
      </c>
      <c r="D23" s="99">
        <f t="shared" si="4"/>
        <v>-2204.3313627572265</v>
      </c>
      <c r="E23" s="99">
        <f t="shared" si="4"/>
        <v>-29257.551351697439</v>
      </c>
      <c r="F23" s="99">
        <f t="shared" si="4"/>
        <v>7549.4865039886554</v>
      </c>
      <c r="G23" s="99">
        <f t="shared" si="4"/>
        <v>-10600.176652004298</v>
      </c>
      <c r="H23" s="99">
        <f t="shared" si="4"/>
        <v>-7643.6247802100743</v>
      </c>
      <c r="I23" s="99">
        <f t="shared" si="4"/>
        <v>-4128.6894463946373</v>
      </c>
      <c r="J23" s="99">
        <f t="shared" si="4"/>
        <v>-8180.5887093730053</v>
      </c>
      <c r="K23" s="99">
        <f t="shared" si="4"/>
        <v>15581.458843161643</v>
      </c>
      <c r="L23" s="99">
        <f t="shared" si="4"/>
        <v>-16710.430817994897</v>
      </c>
      <c r="M23" s="99">
        <f t="shared" si="4"/>
        <v>49809.79786034995</v>
      </c>
      <c r="N23" s="51"/>
    </row>
    <row r="24" spans="1:14" ht="15" x14ac:dyDescent="0.25">
      <c r="A24" s="92" t="s">
        <v>56</v>
      </c>
      <c r="B24" s="100">
        <f t="shared" ref="B24:M24" si="5">B22+B23</f>
        <v>140022.93711531284</v>
      </c>
      <c r="C24" s="100">
        <f t="shared" si="5"/>
        <v>138898.02903896401</v>
      </c>
      <c r="D24" s="100">
        <f t="shared" si="5"/>
        <v>136693.69767620679</v>
      </c>
      <c r="E24" s="100">
        <f t="shared" si="5"/>
        <v>107436.14632450935</v>
      </c>
      <c r="F24" s="100">
        <f t="shared" si="5"/>
        <v>114985.632828498</v>
      </c>
      <c r="G24" s="100">
        <f t="shared" si="5"/>
        <v>104385.4561764937</v>
      </c>
      <c r="H24" s="100">
        <f t="shared" si="5"/>
        <v>96741.831396283626</v>
      </c>
      <c r="I24" s="100">
        <f t="shared" si="5"/>
        <v>92613.141949888988</v>
      </c>
      <c r="J24" s="100">
        <f t="shared" si="5"/>
        <v>84432.55324051599</v>
      </c>
      <c r="K24" s="100">
        <f t="shared" si="5"/>
        <v>100014.01208367763</v>
      </c>
      <c r="L24" s="100">
        <f t="shared" si="5"/>
        <v>83303.581265682733</v>
      </c>
      <c r="M24" s="101">
        <f t="shared" si="5"/>
        <v>133113.3791260327</v>
      </c>
      <c r="N24" s="51"/>
    </row>
    <row r="25" spans="1:14" x14ac:dyDescent="0.2">
      <c r="A25" s="9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1"/>
    </row>
    <row r="26" spans="1:14" ht="15" x14ac:dyDescent="0.25">
      <c r="A26" s="57" t="s">
        <v>57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1"/>
    </row>
    <row r="27" spans="1:14" x14ac:dyDescent="0.2">
      <c r="A27" s="113" t="s">
        <v>16</v>
      </c>
      <c r="B27" s="102">
        <v>5.4899999999999997E-2</v>
      </c>
      <c r="C27" s="102">
        <v>5.4899999999999997E-2</v>
      </c>
      <c r="D27" s="102">
        <v>5.4899999999999997E-2</v>
      </c>
      <c r="E27" s="102">
        <v>5.4899999999999997E-2</v>
      </c>
      <c r="F27" s="102">
        <v>5.4899999999999997E-2</v>
      </c>
      <c r="G27" s="102">
        <v>5.4899999999999997E-2</v>
      </c>
      <c r="H27" s="102">
        <v>5.1999999999999998E-2</v>
      </c>
      <c r="I27" s="102">
        <v>5.1999999999999998E-2</v>
      </c>
      <c r="J27" s="102">
        <v>5.1999999999999998E-2</v>
      </c>
      <c r="K27" s="102">
        <v>4.3999999999999997E-2</v>
      </c>
      <c r="L27" s="102">
        <v>4.3999999999999997E-2</v>
      </c>
      <c r="M27" s="102">
        <v>4.3999999999999997E-2</v>
      </c>
      <c r="N27" s="102">
        <f>PGTVA!O28</f>
        <v>3.1550000000000002E-2</v>
      </c>
    </row>
    <row r="28" spans="1:14" x14ac:dyDescent="0.2">
      <c r="A28" s="114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8"/>
    </row>
    <row r="29" spans="1:14" x14ac:dyDescent="0.2">
      <c r="A29" s="113" t="s">
        <v>17</v>
      </c>
      <c r="B29" s="99">
        <v>0</v>
      </c>
      <c r="C29" s="99">
        <f t="shared" ref="C29:M29" si="6">B31</f>
        <v>0</v>
      </c>
      <c r="D29" s="99">
        <f t="shared" si="6"/>
        <v>640.60493730255621</v>
      </c>
      <c r="E29" s="99">
        <f t="shared" si="6"/>
        <v>1276.0634201558164</v>
      </c>
      <c r="F29" s="99">
        <f t="shared" si="6"/>
        <v>1901.4370870244625</v>
      </c>
      <c r="G29" s="99">
        <f t="shared" si="6"/>
        <v>2392.9574564590926</v>
      </c>
      <c r="H29" s="99">
        <f t="shared" si="6"/>
        <v>2919.0167266494709</v>
      </c>
      <c r="I29" s="99">
        <f t="shared" si="6"/>
        <v>3371.3537034142769</v>
      </c>
      <c r="J29" s="99">
        <f t="shared" si="6"/>
        <v>3790.5683061315058</v>
      </c>
      <c r="K29" s="99">
        <f t="shared" si="6"/>
        <v>4191.8919212476912</v>
      </c>
      <c r="L29" s="99">
        <f t="shared" si="6"/>
        <v>4501.47794979625</v>
      </c>
      <c r="M29" s="99">
        <f t="shared" si="6"/>
        <v>4868.1959941030682</v>
      </c>
      <c r="N29" s="99">
        <f>M31</f>
        <v>5173.6424587439051</v>
      </c>
    </row>
    <row r="30" spans="1:14" x14ac:dyDescent="0.2">
      <c r="A30" s="115" t="s">
        <v>18</v>
      </c>
      <c r="B30" s="105">
        <f t="shared" ref="B30:M30" si="7">B22*B27/12</f>
        <v>0</v>
      </c>
      <c r="C30" s="105">
        <f t="shared" si="7"/>
        <v>640.60493730255621</v>
      </c>
      <c r="D30" s="105">
        <f t="shared" si="7"/>
        <v>635.45848285326031</v>
      </c>
      <c r="E30" s="105">
        <f t="shared" si="7"/>
        <v>625.37366686864607</v>
      </c>
      <c r="F30" s="105">
        <f t="shared" si="7"/>
        <v>491.52036943463025</v>
      </c>
      <c r="G30" s="105">
        <f t="shared" si="7"/>
        <v>526.05927019037824</v>
      </c>
      <c r="H30" s="105">
        <f t="shared" si="7"/>
        <v>452.33697676480597</v>
      </c>
      <c r="I30" s="105">
        <f t="shared" si="7"/>
        <v>419.21460271722907</v>
      </c>
      <c r="J30" s="105">
        <f t="shared" si="7"/>
        <v>401.32361511618564</v>
      </c>
      <c r="K30" s="105">
        <f t="shared" si="7"/>
        <v>309.5860285485586</v>
      </c>
      <c r="L30" s="105">
        <f t="shared" si="7"/>
        <v>366.718044306818</v>
      </c>
      <c r="M30" s="105">
        <f t="shared" si="7"/>
        <v>305.44646464083667</v>
      </c>
      <c r="N30" s="105">
        <f>N27*M24</f>
        <v>4199.7271114263322</v>
      </c>
    </row>
    <row r="31" spans="1:14" ht="15" x14ac:dyDescent="0.25">
      <c r="A31" s="113" t="s">
        <v>19</v>
      </c>
      <c r="B31" s="103">
        <f t="shared" ref="B31:N31" si="8">B29+B30</f>
        <v>0</v>
      </c>
      <c r="C31" s="103">
        <f t="shared" si="8"/>
        <v>640.60493730255621</v>
      </c>
      <c r="D31" s="103">
        <f t="shared" si="8"/>
        <v>1276.0634201558164</v>
      </c>
      <c r="E31" s="103">
        <f t="shared" si="8"/>
        <v>1901.4370870244625</v>
      </c>
      <c r="F31" s="103">
        <f t="shared" si="8"/>
        <v>2392.9574564590926</v>
      </c>
      <c r="G31" s="103">
        <f t="shared" si="8"/>
        <v>2919.0167266494709</v>
      </c>
      <c r="H31" s="103">
        <f t="shared" si="8"/>
        <v>3371.3537034142769</v>
      </c>
      <c r="I31" s="103">
        <f t="shared" si="8"/>
        <v>3790.5683061315058</v>
      </c>
      <c r="J31" s="103">
        <f t="shared" si="8"/>
        <v>4191.8919212476912</v>
      </c>
      <c r="K31" s="103">
        <f t="shared" si="8"/>
        <v>4501.47794979625</v>
      </c>
      <c r="L31" s="103">
        <f t="shared" si="8"/>
        <v>4868.1959941030682</v>
      </c>
      <c r="M31" s="103">
        <f t="shared" si="8"/>
        <v>5173.6424587439051</v>
      </c>
      <c r="N31" s="104">
        <f t="shared" si="8"/>
        <v>9373.3695701702381</v>
      </c>
    </row>
    <row r="32" spans="1:14" x14ac:dyDescent="0.2">
      <c r="A32" s="92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spans="1:48" x14ac:dyDescent="0.2">
      <c r="A33" s="59" t="s">
        <v>58</v>
      </c>
      <c r="B33" s="60">
        <f>B17/B14</f>
        <v>0.14150225719719148</v>
      </c>
      <c r="C33" s="60">
        <f t="shared" ref="C33:M33" si="9">C17/C14</f>
        <v>-1.4319318580925274E-3</v>
      </c>
      <c r="D33" s="60">
        <f t="shared" si="9"/>
        <v>-3.1231058849464375E-3</v>
      </c>
      <c r="E33" s="60">
        <f t="shared" si="9"/>
        <v>-0.1154768179066929</v>
      </c>
      <c r="F33" s="60">
        <f t="shared" si="9"/>
        <v>6.1415655554124086E-2</v>
      </c>
      <c r="G33" s="60">
        <f t="shared" si="9"/>
        <v>-0.1180138078619911</v>
      </c>
      <c r="H33" s="60">
        <f t="shared" si="9"/>
        <v>-7.0090247117345211E-2</v>
      </c>
      <c r="I33" s="60">
        <f t="shared" si="9"/>
        <v>-3.1374544974930793E-2</v>
      </c>
      <c r="J33" s="60">
        <f t="shared" si="9"/>
        <v>-4.8406726341110755E-2</v>
      </c>
      <c r="K33" s="60">
        <f t="shared" si="9"/>
        <v>4.3797338280923311E-2</v>
      </c>
      <c r="L33" s="60">
        <f t="shared" si="9"/>
        <v>-3.4979784039159412E-2</v>
      </c>
      <c r="M33" s="60">
        <f t="shared" si="9"/>
        <v>8.3729558063683512E-2</v>
      </c>
      <c r="N33" s="59"/>
    </row>
    <row r="34" spans="1:48" x14ac:dyDescent="0.2">
      <c r="J34" s="49"/>
      <c r="K34" s="49"/>
      <c r="L34" s="49"/>
      <c r="M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</row>
    <row r="35" spans="1:48" x14ac:dyDescent="0.2">
      <c r="J35" s="49"/>
      <c r="K35" s="49"/>
      <c r="L35" s="49"/>
      <c r="M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</row>
    <row r="36" spans="1:48" customFormat="1" ht="15" x14ac:dyDescent="0.25">
      <c r="A36" s="16" t="s">
        <v>72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48" customFormat="1" ht="45" x14ac:dyDescent="0.25">
      <c r="A37" s="18"/>
      <c r="B37" s="18" t="s">
        <v>71</v>
      </c>
      <c r="C37" s="18" t="s">
        <v>83</v>
      </c>
      <c r="D37" s="18" t="s">
        <v>88</v>
      </c>
      <c r="E37" s="17"/>
      <c r="F37" s="17"/>
      <c r="G37" s="17"/>
      <c r="H37" s="17"/>
      <c r="I37" s="17"/>
      <c r="J37" s="19"/>
      <c r="K37" s="19"/>
      <c r="L37" s="17"/>
    </row>
    <row r="38" spans="1:48" customFormat="1" ht="15" x14ac:dyDescent="0.25">
      <c r="A38" s="76" t="s">
        <v>69</v>
      </c>
      <c r="B38" s="77">
        <f>M24</f>
        <v>133113.3791260327</v>
      </c>
      <c r="C38" s="77"/>
      <c r="D38" s="77">
        <f>B38+C38</f>
        <v>133113.3791260327</v>
      </c>
      <c r="E38" s="17"/>
      <c r="F38" s="17"/>
      <c r="G38" s="17"/>
      <c r="H38" s="17"/>
      <c r="I38" s="17"/>
      <c r="J38" s="17"/>
      <c r="K38" s="17"/>
      <c r="L38" s="17"/>
    </row>
    <row r="39" spans="1:48" customFormat="1" ht="15" x14ac:dyDescent="0.25">
      <c r="A39" s="20" t="s">
        <v>70</v>
      </c>
      <c r="B39" s="81">
        <f>M31</f>
        <v>5173.6424587439051</v>
      </c>
      <c r="C39" s="81">
        <f>N30</f>
        <v>4199.7271114263322</v>
      </c>
      <c r="D39" s="81">
        <f t="shared" ref="D39:D40" si="10">B39+C39</f>
        <v>9373.3695701702381</v>
      </c>
      <c r="E39" s="17"/>
      <c r="F39" s="17"/>
      <c r="G39" s="17"/>
      <c r="H39" s="17"/>
      <c r="I39" s="17"/>
      <c r="J39" s="25"/>
      <c r="K39" s="25"/>
      <c r="L39" s="17"/>
    </row>
    <row r="40" spans="1:48" customFormat="1" ht="15" x14ac:dyDescent="0.25">
      <c r="A40" s="26" t="s">
        <v>20</v>
      </c>
      <c r="B40" s="78">
        <f>B39+B38</f>
        <v>138287.02158477661</v>
      </c>
      <c r="C40" s="78">
        <f t="shared" ref="C40" si="11">C39+C38</f>
        <v>4199.7271114263322</v>
      </c>
      <c r="D40" s="78">
        <f t="shared" si="10"/>
        <v>142486.74869620294</v>
      </c>
      <c r="E40" s="17"/>
      <c r="F40" s="17"/>
      <c r="G40" s="17"/>
      <c r="H40" s="17"/>
      <c r="I40" s="17"/>
      <c r="J40" s="17"/>
      <c r="K40" s="17"/>
      <c r="L40" s="17"/>
    </row>
    <row r="41" spans="1:48" customFormat="1" ht="15" x14ac:dyDescent="0.25">
      <c r="A41" s="79"/>
      <c r="B41" s="80"/>
      <c r="C41" s="80"/>
      <c r="D41" s="80"/>
      <c r="E41" s="17"/>
      <c r="F41" s="17"/>
      <c r="G41" s="17"/>
      <c r="H41" s="17"/>
      <c r="I41" s="17"/>
      <c r="J41" s="17"/>
      <c r="K41" s="17"/>
      <c r="L41" s="17"/>
    </row>
    <row r="42" spans="1:48" customFormat="1" ht="15" x14ac:dyDescent="0.25">
      <c r="A42" s="16" t="s">
        <v>112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48" customFormat="1" ht="15" x14ac:dyDescent="0.25">
      <c r="A43" s="18"/>
      <c r="B43" s="18" t="s">
        <v>21</v>
      </c>
      <c r="C43" s="18" t="s">
        <v>22</v>
      </c>
      <c r="D43" s="18" t="s">
        <v>32</v>
      </c>
      <c r="E43" s="18" t="s">
        <v>23</v>
      </c>
      <c r="F43" s="18" t="s">
        <v>24</v>
      </c>
      <c r="G43" s="18" t="s">
        <v>25</v>
      </c>
      <c r="H43" s="18" t="s">
        <v>26</v>
      </c>
      <c r="I43" s="19"/>
      <c r="J43" s="19"/>
      <c r="K43" s="19"/>
      <c r="L43" s="17"/>
    </row>
    <row r="44" spans="1:48" customFormat="1" ht="16.5" x14ac:dyDescent="0.25">
      <c r="A44" s="20" t="s">
        <v>31</v>
      </c>
      <c r="B44" s="21" t="s">
        <v>34</v>
      </c>
      <c r="C44" s="22">
        <f>SUM(D44:H44)</f>
        <v>33370.791749901291</v>
      </c>
      <c r="D44" s="22">
        <f>'Load Forecast'!F7/1000</f>
        <v>27408.732994604892</v>
      </c>
      <c r="E44" s="22">
        <f>'Load Forecast'!G7/1000</f>
        <v>1094.6096003819746</v>
      </c>
      <c r="F44" s="22">
        <f>'Load Forecast'!H7/1000</f>
        <v>2875.0980647073557</v>
      </c>
      <c r="G44" s="22">
        <f>'Load Forecast'!I7/1000</f>
        <v>1488.3887902070692</v>
      </c>
      <c r="H44" s="22">
        <f>'Load Forecast'!J7/1000</f>
        <v>503.96229999999997</v>
      </c>
      <c r="I44" s="17"/>
      <c r="J44" s="17"/>
      <c r="K44" s="17"/>
      <c r="L44" s="17"/>
    </row>
    <row r="45" spans="1:48" customFormat="1" ht="15" x14ac:dyDescent="0.25">
      <c r="A45" s="20" t="s">
        <v>29</v>
      </c>
      <c r="B45" s="23" t="s">
        <v>27</v>
      </c>
      <c r="C45" s="24">
        <f>SUM(D45:H45)</f>
        <v>1</v>
      </c>
      <c r="D45" s="24">
        <f>D44/$C$44</f>
        <v>0.82133900807690507</v>
      </c>
      <c r="E45" s="24">
        <f t="shared" ref="E45:H45" si="12">E44/$C$44</f>
        <v>3.2801427325595663E-2</v>
      </c>
      <c r="F45" s="24">
        <f t="shared" si="12"/>
        <v>8.6156123781985491E-2</v>
      </c>
      <c r="G45" s="24">
        <f t="shared" si="12"/>
        <v>4.4601542611330813E-2</v>
      </c>
      <c r="H45" s="24">
        <f t="shared" si="12"/>
        <v>1.5101898204183024E-2</v>
      </c>
      <c r="I45" s="25"/>
      <c r="J45" s="25"/>
      <c r="K45" s="25"/>
      <c r="L45" s="17"/>
    </row>
    <row r="46" spans="1:48" customFormat="1" ht="15" x14ac:dyDescent="0.25">
      <c r="A46" s="26" t="s">
        <v>20</v>
      </c>
      <c r="B46" s="27" t="s">
        <v>28</v>
      </c>
      <c r="C46" s="28">
        <f>SUM(D46:H46)</f>
        <v>142486.74869620297</v>
      </c>
      <c r="D46" s="28">
        <f>D45*($D$40)</f>
        <v>117029.92483824257</v>
      </c>
      <c r="E46" s="28">
        <f t="shared" ref="E46:H46" si="13">E45*($D$40)</f>
        <v>4673.7687322189131</v>
      </c>
      <c r="F46" s="28">
        <f t="shared" si="13"/>
        <v>12276.10595796272</v>
      </c>
      <c r="G46" s="28">
        <f t="shared" si="13"/>
        <v>6355.1287935236805</v>
      </c>
      <c r="H46" s="28">
        <f t="shared" si="13"/>
        <v>2151.820374255065</v>
      </c>
      <c r="I46" s="17"/>
      <c r="J46" s="17"/>
      <c r="K46" s="17"/>
      <c r="L46" s="17"/>
    </row>
    <row r="47" spans="1:48" customFormat="1" ht="1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48" customFormat="1" ht="15" x14ac:dyDescent="0.25"/>
    <row r="49" spans="1:8" customFormat="1" ht="15" x14ac:dyDescent="0.25">
      <c r="A49" s="16" t="s">
        <v>113</v>
      </c>
      <c r="B49" s="17"/>
      <c r="C49" s="17"/>
      <c r="D49" s="17"/>
      <c r="E49" s="17"/>
      <c r="F49" s="17"/>
      <c r="G49" s="17"/>
      <c r="H49" s="17"/>
    </row>
    <row r="50" spans="1:8" customFormat="1" ht="15" x14ac:dyDescent="0.25">
      <c r="A50" s="18"/>
      <c r="B50" s="18" t="s">
        <v>21</v>
      </c>
      <c r="C50" s="18" t="s">
        <v>22</v>
      </c>
      <c r="D50" s="18" t="s">
        <v>32</v>
      </c>
      <c r="E50" s="18" t="s">
        <v>23</v>
      </c>
      <c r="F50" s="18" t="s">
        <v>24</v>
      </c>
      <c r="G50" s="18" t="s">
        <v>25</v>
      </c>
      <c r="H50" s="18" t="s">
        <v>26</v>
      </c>
    </row>
    <row r="51" spans="1:8" customFormat="1" ht="16.5" x14ac:dyDescent="0.25">
      <c r="A51" s="20" t="s">
        <v>31</v>
      </c>
      <c r="B51" s="21" t="s">
        <v>34</v>
      </c>
      <c r="C51" s="22">
        <f>SUM(D51:H51)</f>
        <v>33370.791749901291</v>
      </c>
      <c r="D51" s="22">
        <f>'Load Forecast'!F7/1000</f>
        <v>27408.732994604892</v>
      </c>
      <c r="E51" s="22">
        <f>'Load Forecast'!G7/1000</f>
        <v>1094.6096003819746</v>
      </c>
      <c r="F51" s="22">
        <f>'Load Forecast'!H7/1000</f>
        <v>2875.0980647073557</v>
      </c>
      <c r="G51" s="22">
        <f>'Load Forecast'!I7/1000</f>
        <v>1488.3887902070692</v>
      </c>
      <c r="H51" s="22">
        <f>'Load Forecast'!J7/1000</f>
        <v>503.96229999999997</v>
      </c>
    </row>
    <row r="52" spans="1:8" customFormat="1" ht="15" x14ac:dyDescent="0.25">
      <c r="A52" s="20" t="s">
        <v>29</v>
      </c>
      <c r="B52" s="23" t="s">
        <v>27</v>
      </c>
      <c r="C52" s="24">
        <f>SUM(D52:H52)</f>
        <v>1</v>
      </c>
      <c r="D52" s="29">
        <f t="shared" ref="D52:H52" si="14">D45</f>
        <v>0.82133900807690507</v>
      </c>
      <c r="E52" s="29">
        <f t="shared" si="14"/>
        <v>3.2801427325595663E-2</v>
      </c>
      <c r="F52" s="29">
        <f t="shared" si="14"/>
        <v>8.6156123781985491E-2</v>
      </c>
      <c r="G52" s="29">
        <f t="shared" si="14"/>
        <v>4.4601542611330813E-2</v>
      </c>
      <c r="H52" s="29">
        <f t="shared" si="14"/>
        <v>1.5101898204183024E-2</v>
      </c>
    </row>
    <row r="53" spans="1:8" customFormat="1" ht="15" x14ac:dyDescent="0.25">
      <c r="A53" s="30" t="s">
        <v>20</v>
      </c>
      <c r="B53" s="31" t="s">
        <v>28</v>
      </c>
      <c r="C53" s="32">
        <f>SUM(D53:H53)</f>
        <v>142486.74869620297</v>
      </c>
      <c r="D53" s="32">
        <f>D51*D54*10</f>
        <v>117029.92483824257</v>
      </c>
      <c r="E53" s="32">
        <f t="shared" ref="E53:H53" si="15">E51*E54*10</f>
        <v>4673.7687322189131</v>
      </c>
      <c r="F53" s="32">
        <f t="shared" si="15"/>
        <v>12276.10595796272</v>
      </c>
      <c r="G53" s="32">
        <f t="shared" si="15"/>
        <v>6355.1287935236805</v>
      </c>
      <c r="H53" s="32">
        <f t="shared" si="15"/>
        <v>2151.820374255065</v>
      </c>
    </row>
    <row r="54" spans="1:8" customFormat="1" ht="17.25" x14ac:dyDescent="0.25">
      <c r="A54" s="26" t="s">
        <v>30</v>
      </c>
      <c r="B54" s="27" t="s">
        <v>35</v>
      </c>
      <c r="C54" s="33"/>
      <c r="D54" s="33">
        <f>D46/D51/10</f>
        <v>0.42698042576896433</v>
      </c>
      <c r="E54" s="33">
        <f t="shared" ref="E54:H54" si="16">E46/E51/10</f>
        <v>0.42698042576896428</v>
      </c>
      <c r="F54" s="33">
        <f t="shared" si="16"/>
        <v>0.42698042576896428</v>
      </c>
      <c r="G54" s="33">
        <f t="shared" si="16"/>
        <v>0.42698042576896428</v>
      </c>
      <c r="H54" s="33">
        <f t="shared" si="16"/>
        <v>0.42698042576896428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63" fitToWidth="3" orientation="landscape" r:id="rId1"/>
  <rowBreaks count="1" manualBreakCount="1"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"/>
  <sheetViews>
    <sheetView showGridLines="0" workbookViewId="0">
      <selection activeCell="G28" sqref="G28"/>
    </sheetView>
  </sheetViews>
  <sheetFormatPr defaultColWidth="9.140625" defaultRowHeight="14.25" x14ac:dyDescent="0.2"/>
  <cols>
    <col min="1" max="1" width="20.42578125" style="61" customWidth="1"/>
    <col min="2" max="2" width="15.28515625" style="61" customWidth="1"/>
    <col min="3" max="3" width="12.7109375" style="61" bestFit="1" customWidth="1"/>
    <col min="4" max="4" width="13.140625" style="61" customWidth="1"/>
    <col min="5" max="5" width="11.5703125" style="61" bestFit="1" customWidth="1"/>
    <col min="6" max="7" width="12.7109375" style="61" bestFit="1" customWidth="1"/>
    <col min="8" max="8" width="11.5703125" style="61" bestFit="1" customWidth="1"/>
    <col min="9" max="10" width="12.7109375" style="61" bestFit="1" customWidth="1"/>
    <col min="11" max="11" width="9.28515625" style="61" bestFit="1" customWidth="1"/>
    <col min="12" max="16384" width="9.140625" style="61"/>
  </cols>
  <sheetData>
    <row r="1" spans="1:10" ht="15" x14ac:dyDescent="0.25">
      <c r="A1" s="64" t="str">
        <f>PGTVA!A1</f>
        <v>EPCOR Natural Gas Limited Partnership</v>
      </c>
    </row>
    <row r="2" spans="1:10" ht="15" x14ac:dyDescent="0.25">
      <c r="A2" s="64" t="str">
        <f>PGTVA!A2</f>
        <v>EB-2025-0177</v>
      </c>
    </row>
    <row r="3" spans="1:10" ht="15" x14ac:dyDescent="0.25">
      <c r="A3" s="64" t="s">
        <v>73</v>
      </c>
    </row>
    <row r="4" spans="1:10" ht="15" x14ac:dyDescent="0.25">
      <c r="A4" s="64"/>
    </row>
    <row r="5" spans="1:10" ht="15" x14ac:dyDescent="0.25">
      <c r="A5" s="65" t="s">
        <v>108</v>
      </c>
    </row>
    <row r="6" spans="1:10" ht="15" x14ac:dyDescent="0.25">
      <c r="A6" s="67"/>
      <c r="B6" s="68" t="s">
        <v>109</v>
      </c>
      <c r="C6" s="66"/>
      <c r="D6" s="66"/>
      <c r="F6" s="62" t="s">
        <v>66</v>
      </c>
      <c r="G6" s="62" t="s">
        <v>67</v>
      </c>
      <c r="H6" s="62" t="s">
        <v>63</v>
      </c>
      <c r="I6" s="62" t="s">
        <v>64</v>
      </c>
      <c r="J6" s="62" t="s">
        <v>65</v>
      </c>
    </row>
    <row r="7" spans="1:10" ht="15" x14ac:dyDescent="0.25">
      <c r="A7" s="69" t="s">
        <v>59</v>
      </c>
      <c r="B7" s="70">
        <v>17151631.179402202</v>
      </c>
      <c r="C7" s="66"/>
      <c r="D7" s="66"/>
      <c r="F7" s="63">
        <f>B7+B8+B9</f>
        <v>27408732.994604893</v>
      </c>
      <c r="G7" s="63">
        <f>B10</f>
        <v>1094609.6003819746</v>
      </c>
      <c r="H7" s="63">
        <f>B11</f>
        <v>2875098.0647073556</v>
      </c>
      <c r="I7" s="63">
        <f>B12</f>
        <v>1488388.7902070691</v>
      </c>
      <c r="J7" s="63">
        <f>B13</f>
        <v>503962.3</v>
      </c>
    </row>
    <row r="8" spans="1:10" ht="15" x14ac:dyDescent="0.25">
      <c r="A8" s="71" t="s">
        <v>60</v>
      </c>
      <c r="B8" s="72">
        <v>3684208.4922992596</v>
      </c>
      <c r="C8" s="66"/>
      <c r="D8" s="66"/>
      <c r="F8" s="75">
        <f>F7/SUM($F$5:$J7)</f>
        <v>0.82133900807690496</v>
      </c>
      <c r="G8" s="75">
        <f>G7/SUM($F$5:$J7)</f>
        <v>3.2801427325595663E-2</v>
      </c>
      <c r="H8" s="75">
        <f>H7/SUM($F$5:$J7)</f>
        <v>8.6156123781985477E-2</v>
      </c>
      <c r="I8" s="75">
        <f>I7/SUM($F$5:$J7)</f>
        <v>4.4601542611330806E-2</v>
      </c>
      <c r="J8" s="75">
        <f>J7/SUM($F$5:$J7)</f>
        <v>1.5101898204183022E-2</v>
      </c>
    </row>
    <row r="9" spans="1:10" ht="15" x14ac:dyDescent="0.25">
      <c r="A9" s="71" t="s">
        <v>61</v>
      </c>
      <c r="B9" s="72">
        <v>6572893.3229034329</v>
      </c>
      <c r="C9" s="66"/>
      <c r="D9" s="66"/>
    </row>
    <row r="10" spans="1:10" ht="15" x14ac:dyDescent="0.25">
      <c r="A10" s="71" t="s">
        <v>62</v>
      </c>
      <c r="B10" s="70">
        <v>1094609.6003819746</v>
      </c>
      <c r="C10" s="66"/>
      <c r="D10" s="66"/>
    </row>
    <row r="11" spans="1:10" ht="15" x14ac:dyDescent="0.25">
      <c r="A11" s="71" t="s">
        <v>63</v>
      </c>
      <c r="B11" s="72">
        <v>2875098.0647073556</v>
      </c>
      <c r="C11" s="66"/>
      <c r="D11" s="66"/>
    </row>
    <row r="12" spans="1:10" ht="15" x14ac:dyDescent="0.25">
      <c r="A12" s="71" t="s">
        <v>64</v>
      </c>
      <c r="B12" s="70">
        <v>1488388.7902070691</v>
      </c>
      <c r="C12" s="66"/>
      <c r="D12" s="66"/>
    </row>
    <row r="13" spans="1:10" ht="15" x14ac:dyDescent="0.25">
      <c r="A13" s="71" t="s">
        <v>65</v>
      </c>
      <c r="B13" s="70">
        <v>503962.3</v>
      </c>
      <c r="C13" s="66"/>
      <c r="D13" s="66"/>
    </row>
    <row r="14" spans="1:10" ht="15" x14ac:dyDescent="0.25">
      <c r="A14" s="73" t="s">
        <v>20</v>
      </c>
      <c r="B14" s="74">
        <f>SUM(B7:B13)</f>
        <v>33370791.749901295</v>
      </c>
      <c r="C14" s="66"/>
      <c r="D14" s="66"/>
    </row>
    <row r="16" spans="1:10" ht="15" x14ac:dyDescent="0.25">
      <c r="A16" s="65" t="s">
        <v>123</v>
      </c>
    </row>
    <row r="17" spans="1:10" ht="15" x14ac:dyDescent="0.25">
      <c r="A17" s="67"/>
      <c r="B17" s="68" t="s">
        <v>109</v>
      </c>
      <c r="F17" s="62" t="s">
        <v>66</v>
      </c>
      <c r="G17" s="62" t="s">
        <v>67</v>
      </c>
      <c r="H17" s="62" t="s">
        <v>63</v>
      </c>
      <c r="I17" s="62" t="s">
        <v>64</v>
      </c>
      <c r="J17" s="62" t="s">
        <v>65</v>
      </c>
    </row>
    <row r="18" spans="1:10" ht="15" x14ac:dyDescent="0.25">
      <c r="A18" s="69" t="s">
        <v>59</v>
      </c>
      <c r="B18" s="70">
        <v>9580</v>
      </c>
      <c r="C18" s="66"/>
      <c r="D18" s="66"/>
      <c r="F18" s="63">
        <f>B18+B19+B20</f>
        <v>10335</v>
      </c>
      <c r="G18" s="63">
        <f>B21</f>
        <v>53</v>
      </c>
      <c r="H18" s="63">
        <f>B22</f>
        <v>5</v>
      </c>
      <c r="I18" s="63">
        <f>B23</f>
        <v>45</v>
      </c>
      <c r="J18" s="63">
        <f>B24</f>
        <v>4</v>
      </c>
    </row>
    <row r="19" spans="1:10" ht="15" x14ac:dyDescent="0.25">
      <c r="A19" s="71" t="s">
        <v>60</v>
      </c>
      <c r="B19" s="72">
        <v>82</v>
      </c>
      <c r="C19" s="66"/>
      <c r="D19" s="66"/>
      <c r="F19" s="116">
        <f>F18/SUM($F$18:$J18)</f>
        <v>0.98975292089638001</v>
      </c>
      <c r="G19" s="116">
        <f>G18/SUM($F$18:$J18)</f>
        <v>5.0756560045968208E-3</v>
      </c>
      <c r="H19" s="116">
        <f>H18/SUM($F$18:$J18)</f>
        <v>4.7883547213177551E-4</v>
      </c>
      <c r="I19" s="116">
        <f>I18/SUM($F$18:$J18)</f>
        <v>4.3095192491859795E-3</v>
      </c>
      <c r="J19" s="116">
        <f>J18/SUM($F$18:$J18)</f>
        <v>3.8306837770542041E-4</v>
      </c>
    </row>
    <row r="20" spans="1:10" ht="15" x14ac:dyDescent="0.25">
      <c r="A20" s="71" t="s">
        <v>61</v>
      </c>
      <c r="B20" s="72">
        <v>673</v>
      </c>
      <c r="C20" s="66"/>
      <c r="D20" s="66"/>
    </row>
    <row r="21" spans="1:10" ht="15" x14ac:dyDescent="0.25">
      <c r="A21" s="71" t="s">
        <v>62</v>
      </c>
      <c r="B21" s="70">
        <v>53</v>
      </c>
      <c r="C21" s="66"/>
      <c r="D21" s="66"/>
    </row>
    <row r="22" spans="1:10" ht="15" x14ac:dyDescent="0.25">
      <c r="A22" s="71" t="s">
        <v>63</v>
      </c>
      <c r="B22" s="72">
        <v>5</v>
      </c>
    </row>
    <row r="23" spans="1:10" ht="15" x14ac:dyDescent="0.25">
      <c r="A23" s="71" t="s">
        <v>64</v>
      </c>
      <c r="B23" s="70">
        <v>45</v>
      </c>
    </row>
    <row r="24" spans="1:10" ht="15" x14ac:dyDescent="0.25">
      <c r="A24" s="71" t="s">
        <v>65</v>
      </c>
      <c r="B24" s="70">
        <v>4</v>
      </c>
    </row>
    <row r="25" spans="1:10" ht="15" x14ac:dyDescent="0.25">
      <c r="A25" s="73" t="s">
        <v>20</v>
      </c>
      <c r="B25" s="74">
        <f>SUM(B18:B24)</f>
        <v>10442</v>
      </c>
    </row>
  </sheetData>
  <sheetProtection sheet="1" objects="1" scenarios="1"/>
  <phoneticPr fontId="21" type="noConversion"/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6YNFE3WTN53P-2032442789-1417</_dlc_DocId>
    <_dlc_DocIdUrl xmlns="2bc3004b-9ad1-483e-becf-bfd5ad8c6084">
      <Url>https://epcorweb/en-ca/departments/natgas/sites/ON/ONReg/_layouts/15/DocIdRedir.aspx?ID=6YNFE3WTN53P-2032442789-1417</Url>
      <Description>6YNFE3WTN53P-2032442789-1417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7372A-094C-469B-900D-C2462FF8E85C}"/>
</file>

<file path=customXml/itemProps2.xml><?xml version="1.0" encoding="utf-8"?>
<ds:datastoreItem xmlns:ds="http://schemas.openxmlformats.org/officeDocument/2006/customXml" ds:itemID="{48386503-EB7C-497A-B47A-1F8E240A2856}"/>
</file>

<file path=customXml/itemProps3.xml><?xml version="1.0" encoding="utf-8"?>
<ds:datastoreItem xmlns:ds="http://schemas.openxmlformats.org/officeDocument/2006/customXml" ds:itemID="{7A986EE0-454F-4433-AD87-B9903AF2359D}"/>
</file>

<file path=customXml/itemProps4.xml><?xml version="1.0" encoding="utf-8"?>
<ds:datastoreItem xmlns:ds="http://schemas.openxmlformats.org/officeDocument/2006/customXml" ds:itemID="{D0D72353-3813-4448-8C89-85C332DDED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REDA</vt:lpstr>
      <vt:lpstr>PGTVA</vt:lpstr>
      <vt:lpstr>UFGVA</vt:lpstr>
      <vt:lpstr>Load Forecast</vt:lpstr>
      <vt:lpstr>PGTVA!Print_Area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Leung, George</dc:creator>
  <cp:lastModifiedBy>Hesselink, Tim</cp:lastModifiedBy>
  <cp:lastPrinted>2025-06-26T13:56:35Z</cp:lastPrinted>
  <dcterms:created xsi:type="dcterms:W3CDTF">2021-09-07T13:08:27Z</dcterms:created>
  <dcterms:modified xsi:type="dcterms:W3CDTF">2025-07-23T12:06:50Z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d50c551e-813b-49f8-854a-c2a81b913633</vt:lpwstr>
  </property>
</Properties>
</file>