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R:\2026 CoS\1 - Interrogatories\Interrogatory Responses\Intervenors\9-Intervenor-148\Attachment\"/>
    </mc:Choice>
  </mc:AlternateContent>
  <xr:revisionPtr revIDLastSave="0" documentId="8_{0FE8C696-E720-47B3-B5EF-4FE396646BC4}" xr6:coauthVersionLast="47" xr6:coauthVersionMax="47" xr10:uidLastSave="{00000000-0000-0000-0000-000000000000}"/>
  <bookViews>
    <workbookView xWindow="-120" yWindow="-120" windowWidth="29040" windowHeight="15840" xr2:uid="{5057C6A2-C70A-4C0F-8A2F-482B1AEA9FBD}"/>
  </bookViews>
  <sheets>
    <sheet name="BHI 24-25 AIIP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5" i="1" l="1"/>
  <c r="P85" i="1"/>
  <c r="K85" i="1"/>
  <c r="H85" i="1"/>
  <c r="G85" i="1"/>
  <c r="F85" i="1"/>
  <c r="E85" i="1"/>
  <c r="D85" i="1"/>
  <c r="L83" i="1"/>
  <c r="M83" i="1" s="1"/>
  <c r="L82" i="1"/>
  <c r="M82" i="1" s="1"/>
  <c r="L81" i="1"/>
  <c r="M81" i="1" s="1"/>
  <c r="M80" i="1"/>
  <c r="L80" i="1"/>
  <c r="L79" i="1"/>
  <c r="M79" i="1" s="1"/>
  <c r="L78" i="1"/>
  <c r="M78" i="1" s="1"/>
  <c r="L77" i="1"/>
  <c r="M77" i="1" s="1"/>
  <c r="L76" i="1"/>
  <c r="M76" i="1" s="1"/>
  <c r="L75" i="1"/>
  <c r="M75" i="1" s="1"/>
  <c r="M74" i="1"/>
  <c r="M85" i="1" s="1"/>
  <c r="L74" i="1"/>
  <c r="L85" i="1" s="1"/>
  <c r="R67" i="1"/>
  <c r="D7" i="1" s="1"/>
  <c r="Q67" i="1"/>
  <c r="P67" i="1"/>
  <c r="J67" i="1"/>
  <c r="H67" i="1"/>
  <c r="G67" i="1"/>
  <c r="F67" i="1"/>
  <c r="E67" i="1"/>
  <c r="C67" i="1"/>
  <c r="L65" i="1"/>
  <c r="M65" i="1" s="1"/>
  <c r="K65" i="1"/>
  <c r="D65" i="1"/>
  <c r="I65" i="1" s="1"/>
  <c r="N65" i="1" s="1"/>
  <c r="S65" i="1" s="1"/>
  <c r="C83" i="1" s="1"/>
  <c r="I83" i="1" s="1"/>
  <c r="N83" i="1" s="1"/>
  <c r="S83" i="1" s="1"/>
  <c r="L64" i="1"/>
  <c r="M64" i="1" s="1"/>
  <c r="I64" i="1"/>
  <c r="N64" i="1" s="1"/>
  <c r="S64" i="1" s="1"/>
  <c r="C82" i="1" s="1"/>
  <c r="D64" i="1"/>
  <c r="K63" i="1"/>
  <c r="D63" i="1"/>
  <c r="L63" i="1" s="1"/>
  <c r="M63" i="1" s="1"/>
  <c r="K62" i="1"/>
  <c r="D62" i="1"/>
  <c r="L62" i="1" s="1"/>
  <c r="M62" i="1" s="1"/>
  <c r="K61" i="1"/>
  <c r="D61" i="1"/>
  <c r="L61" i="1" s="1"/>
  <c r="M61" i="1" s="1"/>
  <c r="N60" i="1"/>
  <c r="S60" i="1" s="1"/>
  <c r="C78" i="1" s="1"/>
  <c r="K60" i="1"/>
  <c r="L60" i="1" s="1"/>
  <c r="M60" i="1" s="1"/>
  <c r="I60" i="1"/>
  <c r="L59" i="1"/>
  <c r="M59" i="1" s="1"/>
  <c r="K59" i="1"/>
  <c r="D59" i="1"/>
  <c r="I59" i="1" s="1"/>
  <c r="N59" i="1" s="1"/>
  <c r="S59" i="1" s="1"/>
  <c r="C77" i="1" s="1"/>
  <c r="K58" i="1"/>
  <c r="L58" i="1" s="1"/>
  <c r="M58" i="1" s="1"/>
  <c r="I58" i="1"/>
  <c r="D58" i="1"/>
  <c r="K57" i="1"/>
  <c r="L57" i="1" s="1"/>
  <c r="M57" i="1" s="1"/>
  <c r="I57" i="1"/>
  <c r="N57" i="1" s="1"/>
  <c r="S57" i="1" s="1"/>
  <c r="C75" i="1" s="1"/>
  <c r="D57" i="1"/>
  <c r="K56" i="1"/>
  <c r="K67" i="1" s="1"/>
  <c r="D56" i="1"/>
  <c r="L56" i="1" s="1"/>
  <c r="Q44" i="1"/>
  <c r="P44" i="1"/>
  <c r="K44" i="1"/>
  <c r="H44" i="1"/>
  <c r="G44" i="1"/>
  <c r="F44" i="1"/>
  <c r="E44" i="1"/>
  <c r="D44" i="1"/>
  <c r="L42" i="1"/>
  <c r="M42" i="1" s="1"/>
  <c r="L41" i="1"/>
  <c r="M41" i="1" s="1"/>
  <c r="N40" i="1"/>
  <c r="S40" i="1" s="1"/>
  <c r="M40" i="1"/>
  <c r="L40" i="1"/>
  <c r="I40" i="1"/>
  <c r="L39" i="1"/>
  <c r="M39" i="1" s="1"/>
  <c r="L38" i="1"/>
  <c r="M38" i="1" s="1"/>
  <c r="L37" i="1"/>
  <c r="M37" i="1" s="1"/>
  <c r="M36" i="1"/>
  <c r="L36" i="1"/>
  <c r="M35" i="1"/>
  <c r="L35" i="1"/>
  <c r="L34" i="1"/>
  <c r="M34" i="1" s="1"/>
  <c r="L33" i="1"/>
  <c r="L44" i="1" s="1"/>
  <c r="Q28" i="1"/>
  <c r="P28" i="1"/>
  <c r="J28" i="1"/>
  <c r="H28" i="1"/>
  <c r="G28" i="1"/>
  <c r="F28" i="1"/>
  <c r="E28" i="1"/>
  <c r="D28" i="1"/>
  <c r="C28" i="1"/>
  <c r="M27" i="1"/>
  <c r="R26" i="1"/>
  <c r="K26" i="1"/>
  <c r="L26" i="1" s="1"/>
  <c r="M26" i="1" s="1"/>
  <c r="I26" i="1"/>
  <c r="L25" i="1"/>
  <c r="M25" i="1" s="1"/>
  <c r="I25" i="1"/>
  <c r="N25" i="1" s="1"/>
  <c r="S25" i="1" s="1"/>
  <c r="C41" i="1" s="1"/>
  <c r="N24" i="1"/>
  <c r="S24" i="1" s="1"/>
  <c r="M24" i="1"/>
  <c r="L24" i="1"/>
  <c r="I24" i="1"/>
  <c r="L23" i="1"/>
  <c r="M23" i="1" s="1"/>
  <c r="I23" i="1"/>
  <c r="N23" i="1" s="1"/>
  <c r="S23" i="1" s="1"/>
  <c r="C39" i="1" s="1"/>
  <c r="I39" i="1" s="1"/>
  <c r="N39" i="1" s="1"/>
  <c r="S39" i="1" s="1"/>
  <c r="L22" i="1"/>
  <c r="M22" i="1" s="1"/>
  <c r="I22" i="1"/>
  <c r="N22" i="1" s="1"/>
  <c r="S22" i="1" s="1"/>
  <c r="C38" i="1" s="1"/>
  <c r="I38" i="1" s="1"/>
  <c r="N38" i="1" s="1"/>
  <c r="S38" i="1" s="1"/>
  <c r="N21" i="1"/>
  <c r="K21" i="1"/>
  <c r="L21" i="1" s="1"/>
  <c r="M21" i="1" s="1"/>
  <c r="I21" i="1"/>
  <c r="N20" i="1"/>
  <c r="S20" i="1" s="1"/>
  <c r="C36" i="1" s="1"/>
  <c r="L20" i="1"/>
  <c r="M20" i="1" s="1"/>
  <c r="K20" i="1"/>
  <c r="I20" i="1"/>
  <c r="R19" i="1"/>
  <c r="K19" i="1"/>
  <c r="L19" i="1" s="1"/>
  <c r="M19" i="1" s="1"/>
  <c r="I19" i="1"/>
  <c r="K18" i="1"/>
  <c r="L18" i="1" s="1"/>
  <c r="M18" i="1" s="1"/>
  <c r="I18" i="1"/>
  <c r="N18" i="1" s="1"/>
  <c r="S18" i="1" s="1"/>
  <c r="C34" i="1" s="1"/>
  <c r="K17" i="1"/>
  <c r="K28" i="1" s="1"/>
  <c r="I17" i="1"/>
  <c r="N17" i="1" s="1"/>
  <c r="R75" i="1" l="1"/>
  <c r="I75" i="1"/>
  <c r="N75" i="1" s="1"/>
  <c r="S75" i="1" s="1"/>
  <c r="I78" i="1"/>
  <c r="N78" i="1" s="1"/>
  <c r="S78" i="1" s="1"/>
  <c r="R78" i="1"/>
  <c r="I82" i="1"/>
  <c r="N82" i="1" s="1"/>
  <c r="R82" i="1"/>
  <c r="R34" i="1"/>
  <c r="I34" i="1"/>
  <c r="N34" i="1" s="1"/>
  <c r="R36" i="1"/>
  <c r="I36" i="1"/>
  <c r="N36" i="1" s="1"/>
  <c r="S36" i="1" s="1"/>
  <c r="S17" i="1"/>
  <c r="M56" i="1"/>
  <c r="M67" i="1" s="1"/>
  <c r="L67" i="1"/>
  <c r="R77" i="1"/>
  <c r="I77" i="1"/>
  <c r="N77" i="1" s="1"/>
  <c r="S21" i="1"/>
  <c r="C37" i="1" s="1"/>
  <c r="I37" i="1" s="1"/>
  <c r="N37" i="1" s="1"/>
  <c r="R28" i="1"/>
  <c r="C7" i="1" s="1"/>
  <c r="R41" i="1"/>
  <c r="I41" i="1"/>
  <c r="N41" i="1" s="1"/>
  <c r="R21" i="1"/>
  <c r="I56" i="1"/>
  <c r="M33" i="1"/>
  <c r="M44" i="1" s="1"/>
  <c r="I62" i="1"/>
  <c r="N62" i="1" s="1"/>
  <c r="S62" i="1" s="1"/>
  <c r="C80" i="1" s="1"/>
  <c r="I80" i="1" s="1"/>
  <c r="N80" i="1" s="1"/>
  <c r="S80" i="1" s="1"/>
  <c r="N19" i="1"/>
  <c r="S19" i="1" s="1"/>
  <c r="C35" i="1" s="1"/>
  <c r="N26" i="1"/>
  <c r="S26" i="1" s="1"/>
  <c r="C42" i="1" s="1"/>
  <c r="I61" i="1"/>
  <c r="N61" i="1" s="1"/>
  <c r="S61" i="1" s="1"/>
  <c r="C79" i="1" s="1"/>
  <c r="I79" i="1" s="1"/>
  <c r="N79" i="1" s="1"/>
  <c r="S79" i="1" s="1"/>
  <c r="L17" i="1"/>
  <c r="D67" i="1"/>
  <c r="I28" i="1"/>
  <c r="I63" i="1"/>
  <c r="N63" i="1" s="1"/>
  <c r="S63" i="1" s="1"/>
  <c r="C81" i="1" s="1"/>
  <c r="I81" i="1" s="1"/>
  <c r="N81" i="1" s="1"/>
  <c r="S81" i="1" s="1"/>
  <c r="N58" i="1"/>
  <c r="S58" i="1" s="1"/>
  <c r="C76" i="1" s="1"/>
  <c r="N28" i="1" l="1"/>
  <c r="S77" i="1"/>
  <c r="S34" i="1"/>
  <c r="I42" i="1"/>
  <c r="N42" i="1" s="1"/>
  <c r="S42" i="1" s="1"/>
  <c r="R42" i="1"/>
  <c r="I76" i="1"/>
  <c r="N76" i="1" s="1"/>
  <c r="R76" i="1"/>
  <c r="R35" i="1"/>
  <c r="I35" i="1"/>
  <c r="N35" i="1" s="1"/>
  <c r="S35" i="1" s="1"/>
  <c r="E7" i="1"/>
  <c r="S37" i="1"/>
  <c r="R37" i="1"/>
  <c r="I67" i="1"/>
  <c r="N56" i="1"/>
  <c r="L28" i="1"/>
  <c r="M17" i="1"/>
  <c r="M28" i="1" s="1"/>
  <c r="S82" i="1"/>
  <c r="S41" i="1"/>
  <c r="C33" i="1"/>
  <c r="S28" i="1"/>
  <c r="C44" i="1" l="1"/>
  <c r="I33" i="1"/>
  <c r="R33" i="1"/>
  <c r="R44" i="1" s="1"/>
  <c r="C8" i="1" s="1"/>
  <c r="F7" i="1"/>
  <c r="N67" i="1"/>
  <c r="S56" i="1"/>
  <c r="S76" i="1"/>
  <c r="N33" i="1" l="1"/>
  <c r="I44" i="1"/>
  <c r="C9" i="1"/>
  <c r="S67" i="1"/>
  <c r="C74" i="1"/>
  <c r="G7" i="1"/>
  <c r="N44" i="1" l="1"/>
  <c r="S33" i="1"/>
  <c r="S44" i="1" s="1"/>
  <c r="R74" i="1"/>
  <c r="R85" i="1" s="1"/>
  <c r="D8" i="1" s="1"/>
  <c r="C85" i="1"/>
  <c r="I74" i="1"/>
  <c r="D9" i="1" l="1"/>
  <c r="E8" i="1"/>
  <c r="I85" i="1"/>
  <c r="N74" i="1"/>
  <c r="N85" i="1" l="1"/>
  <c r="S74" i="1"/>
  <c r="S85" i="1" s="1"/>
  <c r="F8" i="1"/>
  <c r="E9" i="1"/>
  <c r="G8" i="1" l="1"/>
  <c r="G9" i="1" s="1"/>
  <c r="F9" i="1"/>
</calcChain>
</file>

<file path=xl/sharedStrings.xml><?xml version="1.0" encoding="utf-8"?>
<sst xmlns="http://schemas.openxmlformats.org/spreadsheetml/2006/main" count="65" uniqueCount="36">
  <si>
    <t>Burlington Hydro Inc.</t>
  </si>
  <si>
    <t>AIIP Comparison Using 2024 Actual and 2025 Budgeted Additions</t>
  </si>
  <si>
    <t xml:space="preserve">Summary </t>
  </si>
  <si>
    <t>A</t>
  </si>
  <si>
    <t>B</t>
  </si>
  <si>
    <t>CCA (AIIP in 2020 Rate)</t>
  </si>
  <si>
    <t>Actual CCA (2024/2025)</t>
  </si>
  <si>
    <t>Difference</t>
  </si>
  <si>
    <t>Tax effected</t>
  </si>
  <si>
    <t>Grossed up</t>
  </si>
  <si>
    <t>Total</t>
  </si>
  <si>
    <t xml:space="preserve">
Class</t>
  </si>
  <si>
    <t xml:space="preserve">
Undepreciated capital
cost (UCC) at the
beginning of the bridge year</t>
  </si>
  <si>
    <t xml:space="preserve">
Cost of acquisitions during
the year (new property must
be available for use, except CWIP)</t>
  </si>
  <si>
    <t xml:space="preserve">
Cost of acquisitions from column 3 that are designated immediate expensing property (DIEP)</t>
  </si>
  <si>
    <t xml:space="preserve">
Adjustments and transfers (enter amounts that will reduce the UCC as negatives)</t>
  </si>
  <si>
    <t xml:space="preserve">
Proceeds of dispositions</t>
  </si>
  <si>
    <t xml:space="preserve">
Proceeds of dispositions of the DIEP (enter amount from column 8 that relates to the DIEP reported in column 4)</t>
  </si>
  <si>
    <t xml:space="preserve">
UCC (column 2 plus column 3 plus or minus column 5 minus column 8)</t>
  </si>
  <si>
    <t xml:space="preserve">
UCC of the DIEP (enter the UCC amount that relates to the DIEP reported in column 4)</t>
  </si>
  <si>
    <t xml:space="preserve">
Immediate expensing </t>
  </si>
  <si>
    <r>
      <t xml:space="preserve">
Cost of acquisitions on remainder of Class (column 3 minus
</t>
    </r>
    <r>
      <rPr>
        <sz val="10"/>
        <rFont val="Aptos Narrow"/>
        <family val="2"/>
        <scheme val="minor"/>
      </rPr>
      <t xml:space="preserve">column 4 </t>
    </r>
    <r>
      <rPr>
        <b/>
        <sz val="10"/>
        <rFont val="Aptos Narrow"/>
        <family val="2"/>
        <scheme val="minor"/>
      </rPr>
      <t xml:space="preserve">plus
</t>
    </r>
    <r>
      <rPr>
        <sz val="10"/>
        <rFont val="Aptos Narrow"/>
        <family val="2"/>
        <scheme val="minor"/>
      </rPr>
      <t xml:space="preserve">column 11 </t>
    </r>
    <r>
      <rPr>
        <b/>
        <sz val="10"/>
        <rFont val="Aptos Narrow"/>
        <family val="2"/>
        <scheme val="minor"/>
      </rPr>
      <t xml:space="preserve">minus
</t>
    </r>
    <r>
      <rPr>
        <sz val="10"/>
        <rFont val="Aptos Narrow"/>
        <family val="2"/>
        <scheme val="minor"/>
      </rPr>
      <t>column 12)</t>
    </r>
  </si>
  <si>
    <t xml:space="preserve">
Cost of acquisitions from column K that are accelerated investment incentive properties (AIIP) or properties included in Classes 54 to 56</t>
  </si>
  <si>
    <r>
      <t xml:space="preserve">
Remaining UCC </t>
    </r>
    <r>
      <rPr>
        <sz val="10"/>
        <rFont val="Aptos Narrow"/>
        <family val="2"/>
        <scheme val="minor"/>
      </rPr>
      <t xml:space="preserve">
(if negative, enter "0")</t>
    </r>
  </si>
  <si>
    <t xml:space="preserve">
CCA Rate %</t>
  </si>
  <si>
    <t xml:space="preserve">
Recapture of CCA</t>
  </si>
  <si>
    <t xml:space="preserve">
Terminal Loss</t>
  </si>
  <si>
    <t>CCA (for declining balance method, the result of column 15 plus column  18 minus column 19, multiplied by column  20  or a lower amount, plus column 12))</t>
  </si>
  <si>
    <t xml:space="preserve">
UCC at the end of the test year (column 10 minus column  23)</t>
  </si>
  <si>
    <t xml:space="preserve">2024 with AIIP Based on Prior PILS Model </t>
  </si>
  <si>
    <t>1b</t>
  </si>
  <si>
    <t>Note 1</t>
  </si>
  <si>
    <t xml:space="preserve">2025 with AIIP Based on Prior PILS Model </t>
  </si>
  <si>
    <t>2024 with Appropriate AIIP Factor (as filed in PILS return)</t>
  </si>
  <si>
    <t>2025 with Appropriate AIIP Factor (projected to be filed in PILS return)</t>
  </si>
  <si>
    <t>For tax years that end prior to 2027, properties included in Class 14.1 that were acquired before January 1, 2017, will be depreciable at a CCA rate of 7% instead of 5%.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</si>
</sst>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$&quot;* #,##0_);_(&quot;$&quot;* \(#,##0\);_(&quot;$&quot;* &quot;-&quot;??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&quot;$&quot;* #,##0_-;\-&quot;$&quot;* #,##0_-;_-&quot;$&quot;* &quot;-&quot;??_-;_-@_-"/>
    <numFmt numFmtId="168" formatCode="_(* #,##0_);_(* \(#,##0\);_(* &quot;-&quot;??_);_(@_)"/>
    <numFmt numFmtId="169" formatCode="_(&quot;$&quot;* #,##0_);_(&quot;$&quot;* \(#,##0\);_(&quot;$&quot;* &quot;-&quot;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.5"/>
      <color theme="1"/>
      <name val="Aptos Narrow"/>
      <family val="2"/>
      <scheme val="minor"/>
    </font>
    <font>
      <sz val="10.5"/>
      <color theme="1"/>
      <name val="Aptos Narrow"/>
      <family val="2"/>
      <scheme val="minor"/>
    </font>
    <font>
      <sz val="10.5"/>
      <color rgb="FFFF0000"/>
      <name val="Aptos Narrow"/>
      <family val="2"/>
      <scheme val="minor"/>
    </font>
    <font>
      <b/>
      <sz val="10.5"/>
      <color rgb="FF00B050"/>
      <name val="Aptos Narrow"/>
      <family val="2"/>
      <scheme val="minor"/>
    </font>
    <font>
      <b/>
      <sz val="10.5"/>
      <color rgb="FFFF000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b/>
      <sz val="10.5"/>
      <name val="Aptos Narrow"/>
      <family val="2"/>
      <scheme val="minor"/>
    </font>
    <font>
      <sz val="10.5"/>
      <name val="Aptos Narrow"/>
      <family val="2"/>
      <scheme val="minor"/>
    </font>
    <font>
      <b/>
      <sz val="10.5"/>
      <color indexed="17"/>
      <name val="Aptos Narrow"/>
      <family val="2"/>
      <scheme val="minor"/>
    </font>
    <font>
      <b/>
      <sz val="10.5"/>
      <color indexed="1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right"/>
    </xf>
    <xf numFmtId="0" fontId="3" fillId="0" borderId="2" xfId="0" applyFont="1" applyBorder="1"/>
    <xf numFmtId="0" fontId="4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4" fillId="0" borderId="0" xfId="0" applyFont="1" applyAlignment="1">
      <alignment horizontal="center"/>
    </xf>
    <xf numFmtId="0" fontId="3" fillId="0" borderId="5" xfId="0" applyFont="1" applyBorder="1"/>
    <xf numFmtId="0" fontId="3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4" xfId="0" applyFont="1" applyBorder="1"/>
    <xf numFmtId="164" fontId="3" fillId="0" borderId="0" xfId="0" applyNumberFormat="1" applyFont="1"/>
    <xf numFmtId="165" fontId="3" fillId="0" borderId="0" xfId="0" applyNumberFormat="1" applyFont="1"/>
    <xf numFmtId="165" fontId="3" fillId="0" borderId="5" xfId="0" applyNumberFormat="1" applyFont="1" applyBorder="1"/>
    <xf numFmtId="0" fontId="2" fillId="0" borderId="4" xfId="0" applyFont="1" applyBorder="1" applyAlignment="1">
      <alignment horizontal="right"/>
    </xf>
    <xf numFmtId="164" fontId="3" fillId="0" borderId="8" xfId="0" applyNumberFormat="1" applyFont="1" applyBorder="1"/>
    <xf numFmtId="164" fontId="3" fillId="0" borderId="9" xfId="0" applyNumberFormat="1" applyFont="1" applyBorder="1"/>
    <xf numFmtId="0" fontId="3" fillId="0" borderId="10" xfId="0" applyFont="1" applyBorder="1"/>
    <xf numFmtId="0" fontId="3" fillId="0" borderId="11" xfId="0" applyFont="1" applyBorder="1"/>
    <xf numFmtId="0" fontId="4" fillId="0" borderId="11" xfId="0" applyFont="1" applyBorder="1"/>
    <xf numFmtId="0" fontId="3" fillId="0" borderId="12" xfId="0" applyFont="1" applyBorder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8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5" fontId="10" fillId="0" borderId="0" xfId="0" quotePrefix="1" applyNumberFormat="1" applyFont="1"/>
    <xf numFmtId="166" fontId="3" fillId="0" borderId="0" xfId="1" applyFont="1"/>
    <xf numFmtId="0" fontId="2" fillId="0" borderId="0" xfId="0" applyFont="1" applyAlignment="1">
      <alignment horizontal="center"/>
    </xf>
    <xf numFmtId="164" fontId="3" fillId="0" borderId="0" xfId="2" applyNumberFormat="1" applyFont="1" applyFill="1" applyBorder="1"/>
    <xf numFmtId="164" fontId="3" fillId="3" borderId="0" xfId="2" applyNumberFormat="1" applyFont="1" applyFill="1" applyBorder="1"/>
    <xf numFmtId="166" fontId="3" fillId="0" borderId="0" xfId="1" applyFont="1" applyFill="1" applyBorder="1"/>
    <xf numFmtId="166" fontId="3" fillId="0" borderId="0" xfId="1" applyFont="1" applyBorder="1"/>
    <xf numFmtId="167" fontId="11" fillId="4" borderId="0" xfId="2" applyNumberFormat="1" applyFont="1" applyFill="1" applyBorder="1" applyProtection="1"/>
    <xf numFmtId="3" fontId="11" fillId="5" borderId="0" xfId="0" applyNumberFormat="1" applyFont="1" applyFill="1" applyAlignment="1" applyProtection="1">
      <alignment horizontal="right"/>
      <protection locked="0"/>
    </xf>
    <xf numFmtId="9" fontId="11" fillId="0" borderId="0" xfId="3" applyFont="1" applyFill="1" applyBorder="1" applyAlignment="1">
      <alignment horizontal="right"/>
    </xf>
    <xf numFmtId="164" fontId="3" fillId="2" borderId="0" xfId="0" applyNumberFormat="1" applyFont="1" applyFill="1"/>
    <xf numFmtId="164" fontId="11" fillId="3" borderId="0" xfId="2" applyNumberFormat="1" applyFont="1" applyFill="1" applyBorder="1"/>
    <xf numFmtId="168" fontId="3" fillId="0" borderId="0" xfId="1" applyNumberFormat="1" applyFont="1" applyFill="1" applyBorder="1"/>
    <xf numFmtId="168" fontId="3" fillId="0" borderId="0" xfId="1" applyNumberFormat="1" applyFont="1" applyBorder="1"/>
    <xf numFmtId="164" fontId="10" fillId="0" borderId="0" xfId="2" applyNumberFormat="1" applyFont="1" applyFill="1" applyBorder="1"/>
    <xf numFmtId="168" fontId="3" fillId="3" borderId="0" xfId="1" applyNumberFormat="1" applyFont="1" applyFill="1" applyBorder="1"/>
    <xf numFmtId="9" fontId="3" fillId="0" borderId="0" xfId="3" applyFont="1" applyFill="1" applyBorder="1" applyAlignment="1">
      <alignment horizontal="right"/>
    </xf>
    <xf numFmtId="164" fontId="3" fillId="0" borderId="0" xfId="2" applyNumberFormat="1" applyFont="1" applyFill="1"/>
    <xf numFmtId="164" fontId="3" fillId="0" borderId="13" xfId="2" applyNumberFormat="1" applyFont="1" applyFill="1" applyBorder="1"/>
    <xf numFmtId="166" fontId="3" fillId="0" borderId="13" xfId="1" applyFont="1" applyFill="1" applyBorder="1"/>
    <xf numFmtId="166" fontId="3" fillId="0" borderId="13" xfId="1" applyFont="1" applyFill="1" applyBorder="1" applyAlignment="1">
      <alignment horizontal="right"/>
    </xf>
    <xf numFmtId="164" fontId="3" fillId="0" borderId="14" xfId="2" applyNumberFormat="1" applyFont="1" applyFill="1" applyBorder="1"/>
    <xf numFmtId="164" fontId="2" fillId="0" borderId="14" xfId="2" applyNumberFormat="1" applyFont="1" applyFill="1" applyBorder="1"/>
    <xf numFmtId="164" fontId="3" fillId="2" borderId="14" xfId="2" applyNumberFormat="1" applyFont="1" applyFill="1" applyBorder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5" fillId="0" borderId="0" xfId="0" applyFont="1"/>
    <xf numFmtId="166" fontId="3" fillId="0" borderId="0" xfId="1" applyFont="1" applyFill="1" applyBorder="1" applyAlignment="1">
      <alignment horizontal="left"/>
    </xf>
    <xf numFmtId="0" fontId="11" fillId="0" borderId="0" xfId="0" applyFont="1"/>
    <xf numFmtId="169" fontId="3" fillId="0" borderId="0" xfId="0" applyNumberFormat="1" applyFont="1"/>
    <xf numFmtId="37" fontId="11" fillId="0" borderId="0" xfId="2" applyNumberFormat="1" applyFont="1" applyFill="1" applyAlignment="1">
      <alignment horizontal="right"/>
    </xf>
    <xf numFmtId="164" fontId="3" fillId="6" borderId="0" xfId="0" applyNumberFormat="1" applyFont="1" applyFill="1"/>
    <xf numFmtId="164" fontId="11" fillId="0" borderId="0" xfId="2" applyNumberFormat="1" applyFont="1" applyFill="1"/>
    <xf numFmtId="37" fontId="3" fillId="0" borderId="0" xfId="2" applyNumberFormat="1" applyFont="1" applyFill="1" applyAlignment="1">
      <alignment horizontal="right"/>
    </xf>
    <xf numFmtId="164" fontId="2" fillId="6" borderId="0" xfId="0" applyNumberFormat="1" applyFont="1" applyFill="1"/>
    <xf numFmtId="169" fontId="13" fillId="0" borderId="0" xfId="0" applyNumberFormat="1" applyFont="1" applyAlignment="1">
      <alignment horizontal="right"/>
    </xf>
    <xf numFmtId="37" fontId="3" fillId="0" borderId="0" xfId="2" applyNumberFormat="1" applyFont="1" applyFill="1" applyBorder="1" applyAlignment="1">
      <alignment horizontal="right"/>
    </xf>
    <xf numFmtId="164" fontId="11" fillId="0" borderId="0" xfId="2" applyNumberFormat="1" applyFont="1" applyFill="1" applyBorder="1"/>
    <xf numFmtId="0" fontId="3" fillId="2" borderId="0" xfId="0" applyFont="1" applyFill="1"/>
    <xf numFmtId="166" fontId="3" fillId="0" borderId="14" xfId="1" applyFont="1" applyFill="1" applyBorder="1"/>
    <xf numFmtId="0" fontId="3" fillId="0" borderId="0" xfId="1" applyNumberFormat="1" applyFont="1" applyFill="1" applyBorder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/>
    <xf numFmtId="0" fontId="5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37" fontId="3" fillId="0" borderId="13" xfId="2" applyNumberFormat="1" applyFont="1" applyFill="1" applyBorder="1" applyAlignment="1">
      <alignment horizontal="right"/>
    </xf>
    <xf numFmtId="166" fontId="6" fillId="0" borderId="0" xfId="1" applyFont="1" applyBorder="1" applyAlignment="1">
      <alignment horizontal="center"/>
    </xf>
    <xf numFmtId="0" fontId="4" fillId="0" borderId="0" xfId="0" applyFont="1" applyAlignment="1">
      <alignment horizontal="righ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3"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0D4FD-F86A-41F2-A12F-034B040F8878}">
  <sheetPr>
    <pageSetUpPr fitToPage="1"/>
  </sheetPr>
  <dimension ref="A1:T95"/>
  <sheetViews>
    <sheetView tabSelected="1" workbookViewId="0">
      <selection activeCell="D3" sqref="D3"/>
    </sheetView>
  </sheetViews>
  <sheetFormatPr defaultColWidth="8.85546875" defaultRowHeight="14.25" x14ac:dyDescent="0.25"/>
  <cols>
    <col min="1" max="1" width="8.85546875" style="2"/>
    <col min="2" max="2" width="13.5703125" style="2" customWidth="1"/>
    <col min="3" max="3" width="20.140625" style="2" customWidth="1"/>
    <col min="4" max="4" width="19.5703125" style="2" customWidth="1"/>
    <col min="5" max="5" width="16.140625" style="2" customWidth="1"/>
    <col min="6" max="6" width="18.5703125" style="2" customWidth="1"/>
    <col min="7" max="7" width="16.5703125" style="2" customWidth="1"/>
    <col min="8" max="8" width="19.85546875" style="2" customWidth="1"/>
    <col min="9" max="9" width="17.42578125" style="2" customWidth="1"/>
    <col min="10" max="10" width="18.42578125" style="2" customWidth="1"/>
    <col min="11" max="11" width="9.5703125" style="2" bestFit="1" customWidth="1"/>
    <col min="12" max="12" width="14.85546875" style="2" customWidth="1"/>
    <col min="13" max="13" width="15.42578125" style="2" customWidth="1"/>
    <col min="14" max="14" width="16.42578125" style="2" customWidth="1"/>
    <col min="15" max="17" width="8.85546875" style="2"/>
    <col min="18" max="18" width="25" style="2" customWidth="1"/>
    <col min="19" max="19" width="19.85546875" style="2" customWidth="1"/>
    <col min="20" max="16384" width="8.85546875" style="2"/>
  </cols>
  <sheetData>
    <row r="1" spans="1:19" x14ac:dyDescent="0.25">
      <c r="A1" s="1" t="s">
        <v>0</v>
      </c>
    </row>
    <row r="2" spans="1:19" x14ac:dyDescent="0.25">
      <c r="A2" s="1" t="s">
        <v>1</v>
      </c>
    </row>
    <row r="3" spans="1:19" ht="15" thickBot="1" x14ac:dyDescent="0.3">
      <c r="D3" s="3"/>
    </row>
    <row r="4" spans="1:19" x14ac:dyDescent="0.25">
      <c r="B4" s="4" t="s">
        <v>2</v>
      </c>
      <c r="C4" s="5"/>
      <c r="D4" s="6"/>
      <c r="E4" s="5"/>
      <c r="F4" s="5"/>
      <c r="G4" s="7"/>
    </row>
    <row r="5" spans="1:19" x14ac:dyDescent="0.25">
      <c r="B5" s="8"/>
      <c r="C5" s="9" t="s">
        <v>3</v>
      </c>
      <c r="D5" s="9" t="s">
        <v>4</v>
      </c>
      <c r="G5" s="10"/>
    </row>
    <row r="6" spans="1:19" s="11" customFormat="1" ht="29.1" customHeight="1" x14ac:dyDescent="0.25">
      <c r="B6" s="12"/>
      <c r="C6" s="13" t="s">
        <v>5</v>
      </c>
      <c r="D6" s="13" t="s">
        <v>6</v>
      </c>
      <c r="E6" s="13" t="s">
        <v>7</v>
      </c>
      <c r="F6" s="13" t="s">
        <v>8</v>
      </c>
      <c r="G6" s="14" t="s">
        <v>9</v>
      </c>
    </row>
    <row r="7" spans="1:19" x14ac:dyDescent="0.25">
      <c r="B7" s="15">
        <v>2024</v>
      </c>
      <c r="C7" s="16">
        <f>R28</f>
        <v>10274262.165000001</v>
      </c>
      <c r="D7" s="16">
        <f>R67</f>
        <v>9564197.2600000016</v>
      </c>
      <c r="E7" s="16">
        <f>C7-D7</f>
        <v>710064.90499999933</v>
      </c>
      <c r="F7" s="17">
        <f>E7*0.265</f>
        <v>188167.19982499984</v>
      </c>
      <c r="G7" s="18">
        <f>F7/0.735</f>
        <v>256009.7956802719</v>
      </c>
    </row>
    <row r="8" spans="1:19" x14ac:dyDescent="0.25">
      <c r="B8" s="15">
        <v>2025</v>
      </c>
      <c r="C8" s="16">
        <f>R44</f>
        <v>10098152.04325</v>
      </c>
      <c r="D8" s="16">
        <f>R85</f>
        <v>9630462.0665000007</v>
      </c>
      <c r="E8" s="16">
        <f>C8-D8</f>
        <v>467689.97674999945</v>
      </c>
      <c r="F8" s="17">
        <f>E8*0.265</f>
        <v>123937.84383874986</v>
      </c>
      <c r="G8" s="18">
        <f>F8/0.735</f>
        <v>168622.91678741478</v>
      </c>
    </row>
    <row r="9" spans="1:19" x14ac:dyDescent="0.25">
      <c r="B9" s="19" t="s">
        <v>10</v>
      </c>
      <c r="C9" s="20">
        <f>SUM(C7:C8)</f>
        <v>20372414.208250001</v>
      </c>
      <c r="D9" s="20">
        <f>SUM(D7:D8)</f>
        <v>19194659.326500002</v>
      </c>
      <c r="E9" s="20">
        <f>SUM(E7:E8)</f>
        <v>1177754.8817499988</v>
      </c>
      <c r="F9" s="20">
        <f>SUM(F7:F8)</f>
        <v>312105.0436637497</v>
      </c>
      <c r="G9" s="21">
        <f>SUM(G7:G8)</f>
        <v>424632.71246768668</v>
      </c>
    </row>
    <row r="10" spans="1:19" ht="15" thickBot="1" x14ac:dyDescent="0.3">
      <c r="B10" s="22"/>
      <c r="C10" s="23"/>
      <c r="D10" s="24"/>
      <c r="E10" s="23"/>
      <c r="F10" s="23"/>
      <c r="G10" s="25"/>
    </row>
    <row r="11" spans="1:19" x14ac:dyDescent="0.25">
      <c r="D11" s="3"/>
    </row>
    <row r="12" spans="1:19" x14ac:dyDescent="0.25">
      <c r="C12" s="26"/>
      <c r="F12" s="27"/>
      <c r="L12" s="27"/>
    </row>
    <row r="13" spans="1:19" s="28" customFormat="1" ht="114.6" customHeight="1" x14ac:dyDescent="0.25">
      <c r="B13" s="29" t="s">
        <v>11</v>
      </c>
      <c r="C13" s="29" t="s">
        <v>12</v>
      </c>
      <c r="D13" s="29" t="s">
        <v>13</v>
      </c>
      <c r="E13" s="29" t="s">
        <v>14</v>
      </c>
      <c r="F13" s="29" t="s">
        <v>15</v>
      </c>
      <c r="G13" s="29" t="s">
        <v>16</v>
      </c>
      <c r="H13" s="29" t="s">
        <v>17</v>
      </c>
      <c r="I13" s="29" t="s">
        <v>18</v>
      </c>
      <c r="J13" s="29" t="s">
        <v>19</v>
      </c>
      <c r="K13" s="29" t="s">
        <v>20</v>
      </c>
      <c r="L13" s="29" t="s">
        <v>21</v>
      </c>
      <c r="M13" s="29" t="s">
        <v>22</v>
      </c>
      <c r="N13" s="29" t="s">
        <v>23</v>
      </c>
      <c r="O13" s="29" t="s">
        <v>24</v>
      </c>
      <c r="P13" s="29" t="s">
        <v>25</v>
      </c>
      <c r="Q13" s="29" t="s">
        <v>26</v>
      </c>
      <c r="R13" s="29" t="s">
        <v>27</v>
      </c>
      <c r="S13" s="29" t="s">
        <v>28</v>
      </c>
    </row>
    <row r="14" spans="1:19" x14ac:dyDescent="0.25">
      <c r="B14" s="30"/>
      <c r="C14" s="30"/>
      <c r="D14" s="30"/>
      <c r="E14" s="30"/>
      <c r="F14" s="30"/>
      <c r="G14" s="30"/>
      <c r="H14" s="30"/>
      <c r="I14" s="30"/>
      <c r="J14" s="30"/>
      <c r="K14" s="30"/>
    </row>
    <row r="15" spans="1:19" x14ac:dyDescent="0.25">
      <c r="B15" s="31" t="s">
        <v>29</v>
      </c>
      <c r="C15" s="30"/>
      <c r="D15" s="30"/>
      <c r="E15" s="30"/>
      <c r="F15" s="30"/>
      <c r="G15" s="30"/>
      <c r="H15" s="30"/>
      <c r="I15" s="30"/>
      <c r="J15" s="30"/>
      <c r="K15" s="30"/>
    </row>
    <row r="16" spans="1:19" x14ac:dyDescent="0.25">
      <c r="F16" s="32"/>
      <c r="G16" s="32"/>
    </row>
    <row r="17" spans="2:20" x14ac:dyDescent="0.25">
      <c r="B17" s="33">
        <v>1</v>
      </c>
      <c r="C17" s="34">
        <v>43603083</v>
      </c>
      <c r="D17" s="35">
        <v>0</v>
      </c>
      <c r="E17" s="34"/>
      <c r="F17" s="36"/>
      <c r="G17" s="37"/>
      <c r="H17" s="34"/>
      <c r="I17" s="34">
        <f t="shared" ref="I17:I26" si="0">SUM(C17:H17)</f>
        <v>43603083</v>
      </c>
      <c r="K17" s="34">
        <f>+F17-J17</f>
        <v>0</v>
      </c>
      <c r="L17" s="38">
        <f t="shared" ref="L17:L19" si="1">+D17-E17+J17-K17+G17</f>
        <v>0</v>
      </c>
      <c r="M17" s="39">
        <f t="shared" ref="M17:M19" si="2">L17</f>
        <v>0</v>
      </c>
      <c r="N17" s="38">
        <f t="shared" ref="N17:N26" si="3">IF((I17-K17)&lt;0,0,I17-K17)</f>
        <v>43603083</v>
      </c>
      <c r="O17" s="40">
        <v>0.04</v>
      </c>
      <c r="R17" s="41">
        <v>1744123.32</v>
      </c>
      <c r="S17" s="16">
        <f t="shared" ref="S17:S26" si="4">N17-R17</f>
        <v>41858959.68</v>
      </c>
    </row>
    <row r="18" spans="2:20" x14ac:dyDescent="0.25">
      <c r="B18" s="33" t="s">
        <v>30</v>
      </c>
      <c r="C18" s="34">
        <v>2486121</v>
      </c>
      <c r="D18" s="35">
        <v>384114</v>
      </c>
      <c r="E18" s="34"/>
      <c r="F18" s="36"/>
      <c r="G18" s="37"/>
      <c r="H18" s="34"/>
      <c r="I18" s="34">
        <f t="shared" si="0"/>
        <v>2870235</v>
      </c>
      <c r="K18" s="34">
        <f>+F18-J18</f>
        <v>0</v>
      </c>
      <c r="L18" s="38">
        <f t="shared" si="1"/>
        <v>384114</v>
      </c>
      <c r="M18" s="39">
        <f t="shared" si="2"/>
        <v>384114</v>
      </c>
      <c r="N18" s="38">
        <f t="shared" si="3"/>
        <v>2870235</v>
      </c>
      <c r="O18" s="40">
        <v>0.06</v>
      </c>
      <c r="R18" s="41">
        <v>183737.52</v>
      </c>
      <c r="S18" s="16">
        <f t="shared" si="4"/>
        <v>2686497.48</v>
      </c>
    </row>
    <row r="19" spans="2:20" x14ac:dyDescent="0.25">
      <c r="B19" s="33">
        <v>8</v>
      </c>
      <c r="C19" s="34">
        <v>1056790</v>
      </c>
      <c r="D19" s="42">
        <v>976933</v>
      </c>
      <c r="E19" s="34"/>
      <c r="F19" s="43"/>
      <c r="G19" s="44"/>
      <c r="H19" s="34"/>
      <c r="I19" s="34">
        <f t="shared" si="0"/>
        <v>2033723</v>
      </c>
      <c r="J19" s="45"/>
      <c r="K19" s="34">
        <f>+F19-J19</f>
        <v>0</v>
      </c>
      <c r="L19" s="38">
        <f t="shared" si="1"/>
        <v>976933</v>
      </c>
      <c r="M19" s="39">
        <f t="shared" si="2"/>
        <v>976933</v>
      </c>
      <c r="N19" s="38">
        <f t="shared" si="3"/>
        <v>2033723</v>
      </c>
      <c r="O19" s="40">
        <v>0.2</v>
      </c>
      <c r="R19" s="41">
        <f>(C19+(D19*1.5))*O19</f>
        <v>504437.9</v>
      </c>
      <c r="S19" s="16">
        <f t="shared" si="4"/>
        <v>1529285.1</v>
      </c>
    </row>
    <row r="20" spans="2:20" x14ac:dyDescent="0.25">
      <c r="B20" s="33">
        <v>10</v>
      </c>
      <c r="C20" s="34">
        <v>201568</v>
      </c>
      <c r="D20" s="46">
        <v>359791</v>
      </c>
      <c r="E20" s="34"/>
      <c r="F20" s="43"/>
      <c r="G20" s="44">
        <v>-41535</v>
      </c>
      <c r="H20" s="34"/>
      <c r="I20" s="34">
        <f t="shared" si="0"/>
        <v>519824</v>
      </c>
      <c r="J20" s="45"/>
      <c r="K20" s="34">
        <f>+F20-J20</f>
        <v>0</v>
      </c>
      <c r="L20" s="38">
        <f>+D20-E20+J20-K20+G20</f>
        <v>318256</v>
      </c>
      <c r="M20" s="39">
        <f>L20</f>
        <v>318256</v>
      </c>
      <c r="N20" s="38">
        <f t="shared" si="3"/>
        <v>519824</v>
      </c>
      <c r="O20" s="47">
        <v>0.3</v>
      </c>
      <c r="R20" s="41">
        <v>203685.84999999998</v>
      </c>
      <c r="S20" s="16">
        <f t="shared" si="4"/>
        <v>316138.15000000002</v>
      </c>
      <c r="T20" s="3"/>
    </row>
    <row r="21" spans="2:20" x14ac:dyDescent="0.25">
      <c r="B21" s="33">
        <v>12</v>
      </c>
      <c r="C21" s="34">
        <v>0</v>
      </c>
      <c r="D21" s="35">
        <v>1029211</v>
      </c>
      <c r="E21" s="34"/>
      <c r="F21" s="43"/>
      <c r="G21" s="44"/>
      <c r="H21" s="34"/>
      <c r="I21" s="34">
        <f t="shared" si="0"/>
        <v>1029211</v>
      </c>
      <c r="J21" s="45"/>
      <c r="K21" s="34">
        <f>+F21-J21</f>
        <v>0</v>
      </c>
      <c r="L21" s="38">
        <f t="shared" ref="L21:L26" si="5">+D21-E21+J21-K21+G21</f>
        <v>1029211</v>
      </c>
      <c r="M21" s="39">
        <f t="shared" ref="M21:M27" si="6">L21</f>
        <v>1029211</v>
      </c>
      <c r="N21" s="38">
        <f t="shared" si="3"/>
        <v>1029211</v>
      </c>
      <c r="O21" s="47">
        <v>1</v>
      </c>
      <c r="R21" s="41">
        <f>N21</f>
        <v>1029211</v>
      </c>
      <c r="S21" s="16">
        <f t="shared" si="4"/>
        <v>0</v>
      </c>
    </row>
    <row r="22" spans="2:20" x14ac:dyDescent="0.25">
      <c r="B22" s="33">
        <v>14.1</v>
      </c>
      <c r="C22" s="34">
        <v>3562277</v>
      </c>
      <c r="D22" s="35">
        <v>0</v>
      </c>
      <c r="E22" s="34"/>
      <c r="F22" s="43"/>
      <c r="G22" s="44"/>
      <c r="H22" s="34"/>
      <c r="I22" s="34">
        <f t="shared" si="0"/>
        <v>3562277</v>
      </c>
      <c r="J22" s="45"/>
      <c r="K22" s="34">
        <v>0</v>
      </c>
      <c r="L22" s="38">
        <f t="shared" si="5"/>
        <v>0</v>
      </c>
      <c r="M22" s="39">
        <f t="shared" si="6"/>
        <v>0</v>
      </c>
      <c r="N22" s="38">
        <f t="shared" si="3"/>
        <v>3562277</v>
      </c>
      <c r="O22" s="47">
        <v>0.05</v>
      </c>
      <c r="R22" s="41">
        <v>206673.85</v>
      </c>
      <c r="S22" s="16">
        <f t="shared" si="4"/>
        <v>3355603.15</v>
      </c>
      <c r="T22" s="3" t="s">
        <v>31</v>
      </c>
    </row>
    <row r="23" spans="2:20" x14ac:dyDescent="0.25">
      <c r="B23" s="33">
        <v>43.2</v>
      </c>
      <c r="C23" s="34">
        <v>0</v>
      </c>
      <c r="D23" s="35">
        <v>25761</v>
      </c>
      <c r="E23" s="34"/>
      <c r="F23" s="43"/>
      <c r="G23" s="44"/>
      <c r="H23" s="34"/>
      <c r="I23" s="34">
        <f t="shared" si="0"/>
        <v>25761</v>
      </c>
      <c r="J23" s="45"/>
      <c r="K23" s="34">
        <v>0</v>
      </c>
      <c r="L23" s="38">
        <f>+D23-E23+J23-K23+G23</f>
        <v>25761</v>
      </c>
      <c r="M23" s="39">
        <f t="shared" si="6"/>
        <v>25761</v>
      </c>
      <c r="N23" s="38">
        <f t="shared" si="3"/>
        <v>25761</v>
      </c>
      <c r="O23" s="47">
        <v>0.5</v>
      </c>
      <c r="R23" s="41">
        <v>25761</v>
      </c>
      <c r="S23" s="16">
        <f t="shared" si="4"/>
        <v>0</v>
      </c>
      <c r="T23" s="3"/>
    </row>
    <row r="24" spans="2:20" x14ac:dyDescent="0.25">
      <c r="B24" s="33">
        <v>45</v>
      </c>
      <c r="C24" s="34">
        <v>8</v>
      </c>
      <c r="D24" s="35">
        <v>0</v>
      </c>
      <c r="E24" s="34"/>
      <c r="F24" s="43"/>
      <c r="G24" s="44"/>
      <c r="H24" s="34"/>
      <c r="I24" s="34">
        <f t="shared" si="0"/>
        <v>8</v>
      </c>
      <c r="J24" s="45"/>
      <c r="K24" s="34">
        <v>0</v>
      </c>
      <c r="L24" s="38">
        <f t="shared" si="5"/>
        <v>0</v>
      </c>
      <c r="M24" s="39">
        <f t="shared" si="6"/>
        <v>0</v>
      </c>
      <c r="N24" s="38">
        <f t="shared" si="3"/>
        <v>8</v>
      </c>
      <c r="O24" s="47">
        <v>0.35</v>
      </c>
      <c r="R24" s="41">
        <v>2.8</v>
      </c>
      <c r="S24" s="16">
        <f t="shared" si="4"/>
        <v>5.2</v>
      </c>
    </row>
    <row r="25" spans="2:20" x14ac:dyDescent="0.25">
      <c r="B25" s="33">
        <v>47</v>
      </c>
      <c r="C25" s="34">
        <v>59243834</v>
      </c>
      <c r="D25" s="35">
        <v>11924988</v>
      </c>
      <c r="E25" s="34"/>
      <c r="F25" s="43">
        <v>-78643</v>
      </c>
      <c r="G25" s="44">
        <v>-7671</v>
      </c>
      <c r="H25" s="34"/>
      <c r="I25" s="34">
        <f t="shared" si="0"/>
        <v>71082508</v>
      </c>
      <c r="J25" s="45"/>
      <c r="K25" s="34">
        <v>0</v>
      </c>
      <c r="L25" s="38">
        <f>+D25-E25+J25-K25+G25</f>
        <v>11917317</v>
      </c>
      <c r="M25" s="39">
        <f t="shared" si="6"/>
        <v>11917317</v>
      </c>
      <c r="N25" s="38">
        <f t="shared" si="3"/>
        <v>71082508</v>
      </c>
      <c r="O25" s="47">
        <v>0.08</v>
      </c>
      <c r="R25" s="41">
        <v>6163293</v>
      </c>
      <c r="S25" s="16">
        <f t="shared" si="4"/>
        <v>64919215</v>
      </c>
    </row>
    <row r="26" spans="2:20" x14ac:dyDescent="0.25">
      <c r="B26" s="33">
        <v>50</v>
      </c>
      <c r="C26" s="34">
        <v>6186</v>
      </c>
      <c r="D26" s="35">
        <v>254465</v>
      </c>
      <c r="E26" s="34"/>
      <c r="F26" s="43"/>
      <c r="G26" s="44"/>
      <c r="H26" s="34"/>
      <c r="I26" s="34">
        <f t="shared" si="0"/>
        <v>260651</v>
      </c>
      <c r="J26" s="45"/>
      <c r="K26" s="34">
        <f>+F26-J26</f>
        <v>0</v>
      </c>
      <c r="L26" s="38">
        <f t="shared" si="5"/>
        <v>254465</v>
      </c>
      <c r="M26" s="39">
        <f t="shared" si="6"/>
        <v>254465</v>
      </c>
      <c r="N26" s="38">
        <f t="shared" si="3"/>
        <v>260651</v>
      </c>
      <c r="O26" s="47">
        <v>0.55000000000000004</v>
      </c>
      <c r="R26" s="41">
        <f>(C26+(D26*1.5))*O26</f>
        <v>213335.92500000002</v>
      </c>
      <c r="S26" s="16">
        <f t="shared" si="4"/>
        <v>47315.074999999983</v>
      </c>
    </row>
    <row r="27" spans="2:20" x14ac:dyDescent="0.25">
      <c r="B27" s="30"/>
      <c r="C27" s="48"/>
      <c r="D27" s="49"/>
      <c r="E27" s="49"/>
      <c r="F27" s="50"/>
      <c r="G27" s="51"/>
      <c r="H27" s="49"/>
      <c r="I27" s="49"/>
      <c r="J27" s="49"/>
      <c r="K27" s="49"/>
      <c r="L27" s="48"/>
      <c r="M27" s="39">
        <f t="shared" si="6"/>
        <v>0</v>
      </c>
      <c r="R27" s="41">
        <v>0</v>
      </c>
    </row>
    <row r="28" spans="2:20" ht="15" thickBot="1" x14ac:dyDescent="0.3">
      <c r="C28" s="52">
        <f t="shared" ref="C28:N28" si="7">SUM(C17:C27)</f>
        <v>110159867</v>
      </c>
      <c r="D28" s="52">
        <f t="shared" si="7"/>
        <v>14955263</v>
      </c>
      <c r="E28" s="52">
        <f t="shared" si="7"/>
        <v>0</v>
      </c>
      <c r="F28" s="52">
        <f t="shared" si="7"/>
        <v>-78643</v>
      </c>
      <c r="G28" s="52">
        <f t="shared" si="7"/>
        <v>-49206</v>
      </c>
      <c r="H28" s="52">
        <f t="shared" si="7"/>
        <v>0</v>
      </c>
      <c r="I28" s="52">
        <f t="shared" si="7"/>
        <v>124987281</v>
      </c>
      <c r="J28" s="53">
        <f t="shared" si="7"/>
        <v>0</v>
      </c>
      <c r="K28" s="52">
        <f t="shared" si="7"/>
        <v>0</v>
      </c>
      <c r="L28" s="52">
        <f t="shared" si="7"/>
        <v>14906057</v>
      </c>
      <c r="M28" s="52">
        <f t="shared" si="7"/>
        <v>14906057</v>
      </c>
      <c r="N28" s="52">
        <f t="shared" si="7"/>
        <v>124987281</v>
      </c>
      <c r="O28" s="52"/>
      <c r="P28" s="52">
        <f>SUM(P17:P27)</f>
        <v>0</v>
      </c>
      <c r="Q28" s="52">
        <f>SUM(Q17:Q27)</f>
        <v>0</v>
      </c>
      <c r="R28" s="54">
        <f>SUM(R17:R27)</f>
        <v>10274262.165000001</v>
      </c>
      <c r="S28" s="52">
        <f>SUM(S17:S27)</f>
        <v>114713018.83499999</v>
      </c>
    </row>
    <row r="29" spans="2:20" ht="15" thickTop="1" x14ac:dyDescent="0.25">
      <c r="C29" s="55"/>
      <c r="D29" s="27"/>
      <c r="E29" s="27"/>
      <c r="M29" s="56"/>
      <c r="N29" s="56"/>
      <c r="R29" s="9" t="s">
        <v>3</v>
      </c>
    </row>
    <row r="30" spans="2:20" x14ac:dyDescent="0.25">
      <c r="B30" s="57"/>
      <c r="C30" s="43"/>
      <c r="E30" s="58"/>
      <c r="G30" s="43"/>
      <c r="K30" s="59"/>
      <c r="N30" s="60"/>
    </row>
    <row r="31" spans="2:20" x14ac:dyDescent="0.25">
      <c r="B31" s="31" t="s">
        <v>32</v>
      </c>
      <c r="C31" s="43"/>
      <c r="E31" s="58"/>
      <c r="G31" s="43"/>
      <c r="K31" s="59"/>
      <c r="N31" s="60"/>
    </row>
    <row r="32" spans="2:20" x14ac:dyDescent="0.25">
      <c r="B32" s="57"/>
      <c r="C32" s="43"/>
      <c r="E32" s="58"/>
      <c r="G32" s="43"/>
      <c r="K32" s="59"/>
      <c r="N32" s="60"/>
    </row>
    <row r="33" spans="2:20" x14ac:dyDescent="0.25">
      <c r="B33" s="33">
        <v>1</v>
      </c>
      <c r="C33" s="16">
        <f t="shared" ref="C33:C42" si="8">S17</f>
        <v>41858959.68</v>
      </c>
      <c r="D33" s="48">
        <v>0</v>
      </c>
      <c r="E33" s="48"/>
      <c r="F33" s="48"/>
      <c r="G33" s="48"/>
      <c r="H33" s="48"/>
      <c r="I33" s="34">
        <f t="shared" ref="I33:I42" si="9">SUM(C33:H33)</f>
        <v>41858959.68</v>
      </c>
      <c r="J33" s="61"/>
      <c r="K33" s="48">
        <v>0</v>
      </c>
      <c r="L33" s="38">
        <f t="shared" ref="L33:L42" si="10">+D33-E33+J33-K33</f>
        <v>0</v>
      </c>
      <c r="M33" s="39">
        <f t="shared" ref="M33:M42" si="11">L33</f>
        <v>0</v>
      </c>
      <c r="N33" s="38">
        <f t="shared" ref="N33:N42" si="12">IF((I33-K33)&lt;0,0,I33-K33)</f>
        <v>41858959.68</v>
      </c>
      <c r="O33" s="40">
        <v>0.04</v>
      </c>
      <c r="R33" s="41">
        <f>(C33+(D33*1.5))*O33</f>
        <v>1674358.3872</v>
      </c>
      <c r="S33" s="16">
        <f t="shared" ref="S33:S42" si="13">N33-R33</f>
        <v>40184601.292800002</v>
      </c>
    </row>
    <row r="34" spans="2:20" x14ac:dyDescent="0.25">
      <c r="B34" s="33" t="s">
        <v>30</v>
      </c>
      <c r="C34" s="16">
        <f t="shared" si="8"/>
        <v>2686497.48</v>
      </c>
      <c r="D34" s="48">
        <v>398900</v>
      </c>
      <c r="E34" s="48"/>
      <c r="F34" s="48"/>
      <c r="G34" s="48"/>
      <c r="H34" s="48"/>
      <c r="I34" s="34">
        <f t="shared" si="9"/>
        <v>3085397.48</v>
      </c>
      <c r="J34" s="61"/>
      <c r="K34" s="48">
        <v>0</v>
      </c>
      <c r="L34" s="38">
        <f t="shared" si="10"/>
        <v>398900</v>
      </c>
      <c r="M34" s="39">
        <f t="shared" si="11"/>
        <v>398900</v>
      </c>
      <c r="N34" s="38">
        <f t="shared" si="12"/>
        <v>3085397.48</v>
      </c>
      <c r="O34" s="40">
        <v>0.06</v>
      </c>
      <c r="R34" s="62">
        <f>(C34+(D34*1.5))*O34</f>
        <v>197090.84879999998</v>
      </c>
      <c r="S34" s="16">
        <f t="shared" si="13"/>
        <v>2888306.6312000002</v>
      </c>
    </row>
    <row r="35" spans="2:20" x14ac:dyDescent="0.25">
      <c r="B35" s="33">
        <v>8</v>
      </c>
      <c r="C35" s="16">
        <f t="shared" si="8"/>
        <v>1529285.1</v>
      </c>
      <c r="D35" s="63">
        <v>112167.97</v>
      </c>
      <c r="E35" s="48"/>
      <c r="F35" s="48"/>
      <c r="G35" s="48"/>
      <c r="H35" s="48"/>
      <c r="I35" s="34">
        <f t="shared" si="9"/>
        <v>1641453.07</v>
      </c>
      <c r="J35" s="61"/>
      <c r="K35" s="48">
        <v>0</v>
      </c>
      <c r="L35" s="38">
        <f t="shared" si="10"/>
        <v>112167.97</v>
      </c>
      <c r="M35" s="39">
        <f t="shared" si="11"/>
        <v>112167.97</v>
      </c>
      <c r="N35" s="38">
        <f t="shared" si="12"/>
        <v>1641453.07</v>
      </c>
      <c r="O35" s="40">
        <v>0.2</v>
      </c>
      <c r="R35" s="62">
        <f>(C35+(D35*1.5))*O35</f>
        <v>339507.41100000008</v>
      </c>
      <c r="S35" s="16">
        <f t="shared" si="13"/>
        <v>1301945.659</v>
      </c>
    </row>
    <row r="36" spans="2:20" x14ac:dyDescent="0.25">
      <c r="B36" s="33">
        <v>10</v>
      </c>
      <c r="C36" s="16">
        <f t="shared" si="8"/>
        <v>316138.15000000002</v>
      </c>
      <c r="D36" s="63">
        <v>736785</v>
      </c>
      <c r="E36" s="34"/>
      <c r="G36" s="48"/>
      <c r="H36" s="48"/>
      <c r="I36" s="34">
        <f t="shared" si="9"/>
        <v>1052923.1499999999</v>
      </c>
      <c r="J36" s="64"/>
      <c r="K36" s="48">
        <v>0</v>
      </c>
      <c r="L36" s="38">
        <f t="shared" si="10"/>
        <v>736785</v>
      </c>
      <c r="M36" s="39">
        <f t="shared" si="11"/>
        <v>736785</v>
      </c>
      <c r="N36" s="38">
        <f t="shared" si="12"/>
        <v>1052923.1499999999</v>
      </c>
      <c r="O36" s="47">
        <v>0.3</v>
      </c>
      <c r="R36" s="65">
        <f>(C36+(D36*1.5))*O36</f>
        <v>426394.69499999995</v>
      </c>
      <c r="S36" s="16">
        <f t="shared" si="13"/>
        <v>626528.45499999996</v>
      </c>
      <c r="T36" s="3"/>
    </row>
    <row r="37" spans="2:20" x14ac:dyDescent="0.25">
      <c r="B37" s="33">
        <v>12</v>
      </c>
      <c r="C37" s="16">
        <f t="shared" si="8"/>
        <v>0</v>
      </c>
      <c r="D37" s="48">
        <v>706281.71</v>
      </c>
      <c r="E37" s="48"/>
      <c r="F37" s="66"/>
      <c r="G37" s="48"/>
      <c r="H37" s="48"/>
      <c r="I37" s="34">
        <f t="shared" si="9"/>
        <v>706281.71</v>
      </c>
      <c r="J37" s="64"/>
      <c r="K37" s="48">
        <v>0</v>
      </c>
      <c r="L37" s="38">
        <f t="shared" si="10"/>
        <v>706281.71</v>
      </c>
      <c r="M37" s="39">
        <f t="shared" si="11"/>
        <v>706281.71</v>
      </c>
      <c r="N37" s="38">
        <f t="shared" si="12"/>
        <v>706281.71</v>
      </c>
      <c r="O37" s="47">
        <v>1</v>
      </c>
      <c r="R37" s="62">
        <f>N37</f>
        <v>706281.71</v>
      </c>
      <c r="S37" s="16">
        <f t="shared" si="13"/>
        <v>0</v>
      </c>
    </row>
    <row r="38" spans="2:20" x14ac:dyDescent="0.25">
      <c r="B38" s="33">
        <v>14.1</v>
      </c>
      <c r="C38" s="16">
        <f t="shared" si="8"/>
        <v>3355603.15</v>
      </c>
      <c r="D38" s="48">
        <v>0</v>
      </c>
      <c r="E38" s="48"/>
      <c r="F38" s="66">
        <v>-140700</v>
      </c>
      <c r="G38" s="48"/>
      <c r="H38" s="48"/>
      <c r="I38" s="34">
        <f t="shared" si="9"/>
        <v>3214903.15</v>
      </c>
      <c r="J38" s="64"/>
      <c r="K38" s="48">
        <v>0</v>
      </c>
      <c r="L38" s="38">
        <f t="shared" si="10"/>
        <v>0</v>
      </c>
      <c r="M38" s="39">
        <f t="shared" si="11"/>
        <v>0</v>
      </c>
      <c r="N38" s="38">
        <f t="shared" si="12"/>
        <v>3214903.15</v>
      </c>
      <c r="O38" s="47">
        <v>0.05</v>
      </c>
      <c r="R38" s="62">
        <v>187306</v>
      </c>
      <c r="S38" s="16">
        <f t="shared" si="13"/>
        <v>3027597.15</v>
      </c>
      <c r="T38" s="3" t="s">
        <v>31</v>
      </c>
    </row>
    <row r="39" spans="2:20" x14ac:dyDescent="0.25">
      <c r="B39" s="33">
        <v>43.2</v>
      </c>
      <c r="C39" s="16">
        <f t="shared" si="8"/>
        <v>0</v>
      </c>
      <c r="D39" s="48">
        <v>10000</v>
      </c>
      <c r="E39" s="48"/>
      <c r="F39" s="66"/>
      <c r="G39" s="48"/>
      <c r="H39" s="48"/>
      <c r="I39" s="34">
        <f t="shared" si="9"/>
        <v>10000</v>
      </c>
      <c r="J39" s="64"/>
      <c r="K39" s="48">
        <v>0</v>
      </c>
      <c r="L39" s="38">
        <f t="shared" si="10"/>
        <v>10000</v>
      </c>
      <c r="M39" s="39">
        <f t="shared" si="11"/>
        <v>10000</v>
      </c>
      <c r="N39" s="38">
        <f t="shared" si="12"/>
        <v>10000</v>
      </c>
      <c r="O39" s="47">
        <v>0.5</v>
      </c>
      <c r="R39" s="62">
        <v>10000</v>
      </c>
      <c r="S39" s="16">
        <f t="shared" si="13"/>
        <v>0</v>
      </c>
      <c r="T39" s="3"/>
    </row>
    <row r="40" spans="2:20" x14ac:dyDescent="0.25">
      <c r="B40" s="33">
        <v>45</v>
      </c>
      <c r="C40" s="16">
        <v>4</v>
      </c>
      <c r="D40" s="48">
        <v>0</v>
      </c>
      <c r="E40" s="48"/>
      <c r="F40" s="48"/>
      <c r="G40" s="48"/>
      <c r="H40" s="48"/>
      <c r="I40" s="34">
        <f t="shared" si="9"/>
        <v>4</v>
      </c>
      <c r="J40" s="64"/>
      <c r="K40" s="48">
        <v>0</v>
      </c>
      <c r="L40" s="38">
        <f t="shared" si="10"/>
        <v>0</v>
      </c>
      <c r="M40" s="39">
        <f t="shared" si="11"/>
        <v>0</v>
      </c>
      <c r="N40" s="38">
        <f t="shared" si="12"/>
        <v>4</v>
      </c>
      <c r="O40" s="47">
        <v>0.35</v>
      </c>
      <c r="R40" s="62">
        <v>1.8199999999999998</v>
      </c>
      <c r="S40" s="16">
        <f t="shared" si="13"/>
        <v>2.1800000000000002</v>
      </c>
    </row>
    <row r="41" spans="2:20" x14ac:dyDescent="0.25">
      <c r="B41" s="33">
        <v>47</v>
      </c>
      <c r="C41" s="16">
        <f t="shared" si="8"/>
        <v>64919215</v>
      </c>
      <c r="D41" s="34">
        <v>10610839</v>
      </c>
      <c r="E41" s="34"/>
      <c r="F41" s="34"/>
      <c r="G41" s="34"/>
      <c r="H41" s="34"/>
      <c r="I41" s="34">
        <f t="shared" si="9"/>
        <v>75530054</v>
      </c>
      <c r="J41" s="67"/>
      <c r="K41" s="34">
        <v>0</v>
      </c>
      <c r="L41" s="38">
        <f t="shared" si="10"/>
        <v>10610839</v>
      </c>
      <c r="M41" s="39">
        <f t="shared" si="11"/>
        <v>10610839</v>
      </c>
      <c r="N41" s="38">
        <f t="shared" si="12"/>
        <v>75530054</v>
      </c>
      <c r="O41" s="47">
        <v>0.08</v>
      </c>
      <c r="R41" s="62">
        <f>(C41+(D41*1.5))*O41</f>
        <v>6466837.8799999999</v>
      </c>
      <c r="S41" s="16">
        <f t="shared" si="13"/>
        <v>69063216.120000005</v>
      </c>
    </row>
    <row r="42" spans="2:20" x14ac:dyDescent="0.25">
      <c r="B42" s="33">
        <v>50</v>
      </c>
      <c r="C42" s="16">
        <f t="shared" si="8"/>
        <v>47315.074999999983</v>
      </c>
      <c r="D42" s="34">
        <v>78000</v>
      </c>
      <c r="E42" s="34"/>
      <c r="F42" s="34"/>
      <c r="G42" s="34"/>
      <c r="H42" s="34"/>
      <c r="I42" s="34">
        <f t="shared" si="9"/>
        <v>125315.07499999998</v>
      </c>
      <c r="J42" s="67"/>
      <c r="K42" s="34">
        <v>0</v>
      </c>
      <c r="L42" s="38">
        <f t="shared" si="10"/>
        <v>78000</v>
      </c>
      <c r="M42" s="39">
        <f t="shared" si="11"/>
        <v>78000</v>
      </c>
      <c r="N42" s="38">
        <f t="shared" si="12"/>
        <v>125315.07499999998</v>
      </c>
      <c r="O42" s="47">
        <v>0.55000000000000004</v>
      </c>
      <c r="R42" s="62">
        <f>(C42+(D42*1.5))*O42</f>
        <v>90373.291249999995</v>
      </c>
      <c r="S42" s="16">
        <f t="shared" si="13"/>
        <v>34941.783749999988</v>
      </c>
    </row>
    <row r="43" spans="2:20" x14ac:dyDescent="0.25">
      <c r="B43" s="33"/>
      <c r="C43" s="16"/>
      <c r="D43" s="34"/>
      <c r="E43" s="34"/>
      <c r="F43" s="34"/>
      <c r="G43" s="34"/>
      <c r="H43" s="34"/>
      <c r="I43" s="34"/>
      <c r="J43" s="67"/>
      <c r="K43" s="34"/>
      <c r="L43" s="34"/>
      <c r="M43" s="68"/>
      <c r="N43" s="34"/>
      <c r="R43" s="69"/>
    </row>
    <row r="44" spans="2:20" ht="15" thickBot="1" x14ac:dyDescent="0.3">
      <c r="C44" s="52">
        <f t="shared" ref="C44:I44" si="14">SUM(C33:C42)</f>
        <v>114713017.63500001</v>
      </c>
      <c r="D44" s="52">
        <f t="shared" si="14"/>
        <v>12652973.68</v>
      </c>
      <c r="E44" s="52">
        <f t="shared" si="14"/>
        <v>0</v>
      </c>
      <c r="F44" s="52">
        <f t="shared" si="14"/>
        <v>-140700</v>
      </c>
      <c r="G44" s="52">
        <f t="shared" si="14"/>
        <v>0</v>
      </c>
      <c r="H44" s="52">
        <f t="shared" si="14"/>
        <v>0</v>
      </c>
      <c r="I44" s="52">
        <f t="shared" si="14"/>
        <v>127225291.315</v>
      </c>
      <c r="J44" s="53"/>
      <c r="K44" s="52">
        <f>SUM(K33:K42)</f>
        <v>0</v>
      </c>
      <c r="L44" s="52">
        <f>SUM(L33:L42)</f>
        <v>12652973.68</v>
      </c>
      <c r="M44" s="52">
        <f>SUM(M33:M42)</f>
        <v>12652973.68</v>
      </c>
      <c r="N44" s="52">
        <f>SUM(N33:N42)</f>
        <v>127225291.315</v>
      </c>
      <c r="O44" s="52"/>
      <c r="P44" s="52">
        <f>SUM(P33:P42)</f>
        <v>0</v>
      </c>
      <c r="Q44" s="52">
        <f>SUM(Q33:Q42)</f>
        <v>0</v>
      </c>
      <c r="R44" s="54">
        <f>SUM(R33:R42)</f>
        <v>10098152.04325</v>
      </c>
      <c r="S44" s="70">
        <f>SUM(S33:S42)</f>
        <v>117127139.27175</v>
      </c>
    </row>
    <row r="45" spans="2:20" ht="15" thickTop="1" x14ac:dyDescent="0.25">
      <c r="B45" s="71"/>
      <c r="C45" s="16"/>
      <c r="D45" s="27"/>
      <c r="E45" s="27"/>
      <c r="M45" s="56"/>
      <c r="N45" s="56"/>
      <c r="R45" s="9" t="s">
        <v>3</v>
      </c>
      <c r="S45" s="32"/>
    </row>
    <row r="46" spans="2:20" x14ac:dyDescent="0.25">
      <c r="B46" s="71"/>
      <c r="C46" s="16"/>
      <c r="E46" s="58"/>
      <c r="G46" s="43"/>
      <c r="K46" s="59"/>
      <c r="N46" s="60"/>
      <c r="S46" s="32"/>
    </row>
    <row r="47" spans="2:20" x14ac:dyDescent="0.25">
      <c r="B47" s="71"/>
      <c r="C47" s="16"/>
      <c r="D47" s="43"/>
      <c r="E47" s="43"/>
      <c r="J47" s="72"/>
      <c r="K47" s="43"/>
      <c r="L47" s="73"/>
    </row>
    <row r="48" spans="2:20" x14ac:dyDescent="0.25">
      <c r="C48" s="16"/>
      <c r="D48" s="74"/>
      <c r="E48" s="75"/>
    </row>
    <row r="49" spans="2:20" x14ac:dyDescent="0.25">
      <c r="C49" s="26"/>
      <c r="M49" s="27"/>
    </row>
    <row r="50" spans="2:20" x14ac:dyDescent="0.25"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</row>
    <row r="51" spans="2:20" x14ac:dyDescent="0.25">
      <c r="B51" s="30"/>
      <c r="C51" s="30"/>
      <c r="D51" s="9"/>
      <c r="E51" s="30"/>
      <c r="F51" s="30"/>
      <c r="G51" s="30"/>
      <c r="H51" s="30"/>
      <c r="I51" s="30"/>
      <c r="J51" s="30"/>
      <c r="K51" s="30"/>
      <c r="L51" s="30"/>
      <c r="M51" s="30"/>
      <c r="N51" s="30"/>
    </row>
    <row r="52" spans="2:20" s="28" customFormat="1" ht="114.6" customHeight="1" x14ac:dyDescent="0.25">
      <c r="B52" s="29" t="s">
        <v>11</v>
      </c>
      <c r="C52" s="29" t="s">
        <v>12</v>
      </c>
      <c r="D52" s="29" t="s">
        <v>13</v>
      </c>
      <c r="E52" s="29" t="s">
        <v>14</v>
      </c>
      <c r="F52" s="29" t="s">
        <v>15</v>
      </c>
      <c r="G52" s="29" t="s">
        <v>16</v>
      </c>
      <c r="H52" s="29" t="s">
        <v>17</v>
      </c>
      <c r="I52" s="29" t="s">
        <v>18</v>
      </c>
      <c r="J52" s="29" t="s">
        <v>19</v>
      </c>
      <c r="K52" s="29" t="s">
        <v>20</v>
      </c>
      <c r="L52" s="29" t="s">
        <v>21</v>
      </c>
      <c r="M52" s="29" t="s">
        <v>22</v>
      </c>
      <c r="N52" s="29" t="s">
        <v>23</v>
      </c>
      <c r="O52" s="29" t="s">
        <v>24</v>
      </c>
      <c r="P52" s="29" t="s">
        <v>25</v>
      </c>
      <c r="Q52" s="29" t="s">
        <v>26</v>
      </c>
      <c r="R52" s="29" t="s">
        <v>27</v>
      </c>
      <c r="S52" s="29" t="s">
        <v>28</v>
      </c>
    </row>
    <row r="53" spans="2:20" x14ac:dyDescent="0.25"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</row>
    <row r="54" spans="2:20" x14ac:dyDescent="0.25">
      <c r="B54" s="31" t="s">
        <v>33</v>
      </c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</row>
    <row r="56" spans="2:20" x14ac:dyDescent="0.25">
      <c r="B56" s="33">
        <v>1</v>
      </c>
      <c r="C56" s="34">
        <v>43603083</v>
      </c>
      <c r="D56" s="35">
        <f>D17</f>
        <v>0</v>
      </c>
      <c r="E56" s="34"/>
      <c r="F56" s="36"/>
      <c r="G56" s="37"/>
      <c r="H56" s="34"/>
      <c r="I56" s="34">
        <f t="shared" ref="I56:I65" si="15">SUM(C56:H56)</f>
        <v>43603083</v>
      </c>
      <c r="J56" s="45"/>
      <c r="K56" s="34">
        <f>+F56-J56</f>
        <v>0</v>
      </c>
      <c r="L56" s="38">
        <f t="shared" ref="L56:L58" si="16">+D56-E56+J56-K56+G56</f>
        <v>0</v>
      </c>
      <c r="M56" s="39">
        <f t="shared" ref="M56:M65" si="17">L56</f>
        <v>0</v>
      </c>
      <c r="N56" s="38">
        <f t="shared" ref="N56:N65" si="18">IF((I56-K56)&lt;0,0,I56-K56)</f>
        <v>43603083</v>
      </c>
      <c r="O56" s="40">
        <v>0.04</v>
      </c>
      <c r="R56" s="41">
        <v>1744123.32</v>
      </c>
      <c r="S56" s="16">
        <f t="shared" ref="S56:S65" si="19">N56-R56</f>
        <v>41858959.68</v>
      </c>
    </row>
    <row r="57" spans="2:20" x14ac:dyDescent="0.25">
      <c r="B57" s="33" t="s">
        <v>30</v>
      </c>
      <c r="C57" s="34">
        <v>2486121</v>
      </c>
      <c r="D57" s="35">
        <f t="shared" ref="D57:D65" si="20">D18</f>
        <v>384114</v>
      </c>
      <c r="E57" s="34"/>
      <c r="F57" s="36"/>
      <c r="G57" s="37"/>
      <c r="H57" s="34"/>
      <c r="I57" s="34">
        <f t="shared" si="15"/>
        <v>2870235</v>
      </c>
      <c r="J57" s="38"/>
      <c r="K57" s="34">
        <f>+F57-J57</f>
        <v>0</v>
      </c>
      <c r="L57" s="38">
        <f t="shared" si="16"/>
        <v>384114</v>
      </c>
      <c r="M57" s="39">
        <f t="shared" si="17"/>
        <v>384114</v>
      </c>
      <c r="N57" s="38">
        <f t="shared" si="18"/>
        <v>2870235</v>
      </c>
      <c r="O57" s="40">
        <v>0.06</v>
      </c>
      <c r="R57" s="41">
        <v>172214.09999999998</v>
      </c>
      <c r="S57" s="16">
        <f t="shared" si="19"/>
        <v>2698020.9</v>
      </c>
    </row>
    <row r="58" spans="2:20" x14ac:dyDescent="0.25">
      <c r="B58" s="33">
        <v>8</v>
      </c>
      <c r="C58" s="34">
        <v>1056790</v>
      </c>
      <c r="D58" s="35">
        <f t="shared" si="20"/>
        <v>976933</v>
      </c>
      <c r="E58" s="34"/>
      <c r="F58" s="36"/>
      <c r="G58" s="37"/>
      <c r="H58" s="34"/>
      <c r="I58" s="34">
        <f t="shared" si="15"/>
        <v>2033723</v>
      </c>
      <c r="J58" s="45"/>
      <c r="K58" s="34">
        <f>+F58-J58</f>
        <v>0</v>
      </c>
      <c r="L58" s="38">
        <f t="shared" si="16"/>
        <v>976933</v>
      </c>
      <c r="M58" s="39">
        <f t="shared" si="17"/>
        <v>976933</v>
      </c>
      <c r="N58" s="38">
        <f t="shared" si="18"/>
        <v>2033723</v>
      </c>
      <c r="O58" s="40">
        <v>0.2</v>
      </c>
      <c r="R58" s="41">
        <v>406744.6</v>
      </c>
      <c r="S58" s="16">
        <f t="shared" si="19"/>
        <v>1626978.4</v>
      </c>
    </row>
    <row r="59" spans="2:20" x14ac:dyDescent="0.25">
      <c r="B59" s="33">
        <v>10</v>
      </c>
      <c r="C59" s="34">
        <v>201568</v>
      </c>
      <c r="D59" s="35">
        <f t="shared" si="20"/>
        <v>359791</v>
      </c>
      <c r="E59" s="34"/>
      <c r="F59" s="43"/>
      <c r="G59" s="44">
        <v>-41535</v>
      </c>
      <c r="H59" s="34"/>
      <c r="I59" s="34">
        <f t="shared" si="15"/>
        <v>519824</v>
      </c>
      <c r="J59" s="45"/>
      <c r="K59" s="34">
        <f>+F59-J59</f>
        <v>0</v>
      </c>
      <c r="L59" s="38">
        <f>+D59-E59+J59-K59+G59</f>
        <v>318256</v>
      </c>
      <c r="M59" s="39">
        <f t="shared" si="17"/>
        <v>318256</v>
      </c>
      <c r="N59" s="38">
        <f t="shared" si="18"/>
        <v>519824</v>
      </c>
      <c r="O59" s="47">
        <v>0.3</v>
      </c>
      <c r="R59" s="41">
        <v>155947.20000000001</v>
      </c>
      <c r="S59" s="16">
        <f t="shared" si="19"/>
        <v>363876.8</v>
      </c>
    </row>
    <row r="60" spans="2:20" x14ac:dyDescent="0.25">
      <c r="B60" s="33">
        <v>12</v>
      </c>
      <c r="C60" s="34">
        <v>0</v>
      </c>
      <c r="D60" s="35">
        <v>1029211</v>
      </c>
      <c r="E60" s="34"/>
      <c r="F60" s="43"/>
      <c r="G60" s="44"/>
      <c r="H60" s="34"/>
      <c r="I60" s="34">
        <f t="shared" si="15"/>
        <v>1029211</v>
      </c>
      <c r="J60" s="45"/>
      <c r="K60" s="34">
        <f>+F60-J60</f>
        <v>0</v>
      </c>
      <c r="L60" s="38">
        <f t="shared" ref="L60:L65" si="21">+D60-E60+J60-K60+G60</f>
        <v>1029211</v>
      </c>
      <c r="M60" s="39">
        <f t="shared" si="17"/>
        <v>1029211</v>
      </c>
      <c r="N60" s="38">
        <f t="shared" si="18"/>
        <v>1029211</v>
      </c>
      <c r="O60" s="47">
        <v>1</v>
      </c>
      <c r="R60" s="41">
        <v>1029211</v>
      </c>
      <c r="S60" s="16">
        <f t="shared" si="19"/>
        <v>0</v>
      </c>
    </row>
    <row r="61" spans="2:20" x14ac:dyDescent="0.25">
      <c r="B61" s="33">
        <v>14.1</v>
      </c>
      <c r="C61" s="34">
        <v>3562277</v>
      </c>
      <c r="D61" s="35">
        <f>D22</f>
        <v>0</v>
      </c>
      <c r="E61" s="34"/>
      <c r="F61" s="43"/>
      <c r="G61" s="44"/>
      <c r="H61" s="34"/>
      <c r="I61" s="34">
        <f t="shared" si="15"/>
        <v>3562277</v>
      </c>
      <c r="J61" s="45"/>
      <c r="K61" s="34">
        <f t="shared" ref="K61:K63" si="22">+F61-J61</f>
        <v>0</v>
      </c>
      <c r="L61" s="38">
        <f t="shared" si="21"/>
        <v>0</v>
      </c>
      <c r="M61" s="39">
        <f t="shared" si="17"/>
        <v>0</v>
      </c>
      <c r="N61" s="38">
        <f t="shared" si="18"/>
        <v>3562277</v>
      </c>
      <c r="O61" s="47">
        <v>0.05</v>
      </c>
      <c r="R61" s="41">
        <v>206673.85</v>
      </c>
      <c r="S61" s="16">
        <f t="shared" si="19"/>
        <v>3355603.15</v>
      </c>
      <c r="T61" s="3" t="s">
        <v>31</v>
      </c>
    </row>
    <row r="62" spans="2:20" x14ac:dyDescent="0.25">
      <c r="B62" s="33">
        <v>43.2</v>
      </c>
      <c r="C62" s="34"/>
      <c r="D62" s="35">
        <f t="shared" si="20"/>
        <v>25761</v>
      </c>
      <c r="E62" s="34"/>
      <c r="F62" s="43"/>
      <c r="G62" s="44"/>
      <c r="H62" s="34"/>
      <c r="I62" s="34">
        <f t="shared" si="15"/>
        <v>25761</v>
      </c>
      <c r="J62" s="45"/>
      <c r="K62" s="34">
        <f t="shared" si="22"/>
        <v>0</v>
      </c>
      <c r="L62" s="38">
        <f>+D62-E62+J62-K62+G62</f>
        <v>25761</v>
      </c>
      <c r="M62" s="39">
        <f t="shared" si="17"/>
        <v>25761</v>
      </c>
      <c r="N62" s="38">
        <f t="shared" si="18"/>
        <v>25761</v>
      </c>
      <c r="O62" s="47">
        <v>0.5</v>
      </c>
      <c r="R62" s="41">
        <v>19320.5</v>
      </c>
      <c r="S62" s="16">
        <f t="shared" si="19"/>
        <v>6440.5</v>
      </c>
      <c r="T62" s="3"/>
    </row>
    <row r="63" spans="2:20" x14ac:dyDescent="0.25">
      <c r="B63" s="33">
        <v>45</v>
      </c>
      <c r="C63" s="34">
        <v>8</v>
      </c>
      <c r="D63" s="35">
        <f t="shared" si="20"/>
        <v>0</v>
      </c>
      <c r="E63" s="34"/>
      <c r="F63" s="43"/>
      <c r="G63" s="44"/>
      <c r="H63" s="34"/>
      <c r="I63" s="34">
        <f t="shared" si="15"/>
        <v>8</v>
      </c>
      <c r="J63" s="45"/>
      <c r="K63" s="34">
        <f t="shared" si="22"/>
        <v>0</v>
      </c>
      <c r="L63" s="38">
        <f t="shared" si="21"/>
        <v>0</v>
      </c>
      <c r="M63" s="39">
        <f t="shared" si="17"/>
        <v>0</v>
      </c>
      <c r="N63" s="38">
        <f t="shared" si="18"/>
        <v>8</v>
      </c>
      <c r="O63" s="47">
        <v>0.35</v>
      </c>
      <c r="R63" s="41">
        <v>4</v>
      </c>
      <c r="S63" s="16">
        <f t="shared" si="19"/>
        <v>4</v>
      </c>
    </row>
    <row r="64" spans="2:20" x14ac:dyDescent="0.25">
      <c r="B64" s="33">
        <v>47</v>
      </c>
      <c r="C64" s="34">
        <v>59243834</v>
      </c>
      <c r="D64" s="35">
        <f t="shared" si="20"/>
        <v>11924988</v>
      </c>
      <c r="E64" s="34"/>
      <c r="F64" s="43">
        <v>-78643</v>
      </c>
      <c r="G64" s="44">
        <v>-7671</v>
      </c>
      <c r="H64" s="34"/>
      <c r="I64" s="34">
        <f t="shared" si="15"/>
        <v>71082508</v>
      </c>
      <c r="J64" s="45"/>
      <c r="K64" s="34">
        <v>0</v>
      </c>
      <c r="L64" s="38">
        <f>+D64-E64+J64-K64+G64</f>
        <v>11917317</v>
      </c>
      <c r="M64" s="39">
        <f t="shared" si="17"/>
        <v>11917317</v>
      </c>
      <c r="N64" s="38">
        <f t="shared" si="18"/>
        <v>71082508</v>
      </c>
      <c r="O64" s="47">
        <v>0.08</v>
      </c>
      <c r="R64" s="41">
        <v>5686600.6400000006</v>
      </c>
      <c r="S64" s="16">
        <f t="shared" si="19"/>
        <v>65395907.359999999</v>
      </c>
    </row>
    <row r="65" spans="2:20" x14ac:dyDescent="0.25">
      <c r="B65" s="33">
        <v>50</v>
      </c>
      <c r="C65" s="34">
        <v>6186</v>
      </c>
      <c r="D65" s="35">
        <f t="shared" si="20"/>
        <v>254465</v>
      </c>
      <c r="E65" s="34"/>
      <c r="F65" s="36"/>
      <c r="G65" s="37"/>
      <c r="H65" s="34"/>
      <c r="I65" s="34">
        <f t="shared" si="15"/>
        <v>260651</v>
      </c>
      <c r="J65" s="45"/>
      <c r="K65" s="34">
        <f>+F65-J65</f>
        <v>0</v>
      </c>
      <c r="L65" s="38">
        <f t="shared" si="21"/>
        <v>254465</v>
      </c>
      <c r="M65" s="39">
        <f t="shared" si="17"/>
        <v>254465</v>
      </c>
      <c r="N65" s="38">
        <f t="shared" si="18"/>
        <v>260651</v>
      </c>
      <c r="O65" s="47">
        <v>0.55000000000000004</v>
      </c>
      <c r="R65" s="41">
        <v>143358.04999999999</v>
      </c>
      <c r="S65" s="16">
        <f t="shared" si="19"/>
        <v>117292.95000000001</v>
      </c>
    </row>
    <row r="66" spans="2:20" x14ac:dyDescent="0.25">
      <c r="B66" s="30"/>
      <c r="C66" s="48"/>
      <c r="D66" s="49"/>
      <c r="E66" s="49"/>
      <c r="F66" s="50"/>
      <c r="G66" s="51"/>
      <c r="H66" s="49"/>
      <c r="I66" s="49"/>
      <c r="J66" s="76"/>
      <c r="K66" s="49"/>
      <c r="L66" s="48"/>
      <c r="M66" s="49"/>
      <c r="R66" s="41">
        <v>0</v>
      </c>
    </row>
    <row r="67" spans="2:20" ht="15" thickBot="1" x14ac:dyDescent="0.3">
      <c r="C67" s="52">
        <f t="shared" ref="C67:Q67" si="23">SUM(C56:C66)</f>
        <v>110159867</v>
      </c>
      <c r="D67" s="52">
        <f t="shared" si="23"/>
        <v>14955263</v>
      </c>
      <c r="E67" s="52">
        <f t="shared" si="23"/>
        <v>0</v>
      </c>
      <c r="F67" s="52">
        <f t="shared" si="23"/>
        <v>-78643</v>
      </c>
      <c r="G67" s="52">
        <f t="shared" si="23"/>
        <v>-49206</v>
      </c>
      <c r="H67" s="52">
        <f t="shared" si="23"/>
        <v>0</v>
      </c>
      <c r="I67" s="52">
        <f t="shared" si="23"/>
        <v>124987281</v>
      </c>
      <c r="J67" s="52">
        <f t="shared" si="23"/>
        <v>0</v>
      </c>
      <c r="K67" s="52">
        <f t="shared" si="23"/>
        <v>0</v>
      </c>
      <c r="L67" s="52">
        <f t="shared" si="23"/>
        <v>14906057</v>
      </c>
      <c r="M67" s="52">
        <f t="shared" si="23"/>
        <v>14906057</v>
      </c>
      <c r="N67" s="52">
        <f t="shared" si="23"/>
        <v>124987281</v>
      </c>
      <c r="O67" s="52"/>
      <c r="P67" s="52">
        <f t="shared" si="23"/>
        <v>0</v>
      </c>
      <c r="Q67" s="52">
        <f t="shared" si="23"/>
        <v>0</v>
      </c>
      <c r="R67" s="54">
        <f>SUM(R56:R65)</f>
        <v>9564197.2600000016</v>
      </c>
      <c r="S67" s="52">
        <f>SUM(S56:S66)</f>
        <v>115423083.73999999</v>
      </c>
    </row>
    <row r="68" spans="2:20" ht="15" thickTop="1" x14ac:dyDescent="0.25">
      <c r="C68" s="55"/>
      <c r="D68" s="27"/>
      <c r="E68" s="27"/>
      <c r="M68" s="56"/>
      <c r="N68" s="56"/>
      <c r="R68" s="9" t="s">
        <v>4</v>
      </c>
    </row>
    <row r="69" spans="2:20" x14ac:dyDescent="0.25">
      <c r="B69" s="33"/>
      <c r="C69" s="36"/>
      <c r="D69" s="77"/>
      <c r="E69" s="77"/>
      <c r="F69" s="37"/>
      <c r="M69" s="56"/>
      <c r="N69" s="56"/>
      <c r="R69" s="9"/>
      <c r="S69" s="37"/>
    </row>
    <row r="70" spans="2:20" x14ac:dyDescent="0.25">
      <c r="B70" s="33"/>
      <c r="C70" s="36"/>
      <c r="D70" s="77"/>
      <c r="E70" s="77"/>
      <c r="F70" s="36"/>
      <c r="M70" s="56"/>
      <c r="N70" s="56"/>
      <c r="R70" s="9"/>
      <c r="S70" s="36"/>
    </row>
    <row r="71" spans="2:20" ht="13.7" customHeight="1" x14ac:dyDescent="0.25">
      <c r="B71" s="57"/>
      <c r="C71" s="43"/>
      <c r="E71" s="58"/>
      <c r="G71" s="43"/>
      <c r="K71" s="59"/>
      <c r="N71" s="60"/>
    </row>
    <row r="72" spans="2:20" x14ac:dyDescent="0.25">
      <c r="B72" s="31" t="s">
        <v>34</v>
      </c>
      <c r="C72" s="43"/>
      <c r="E72" s="58"/>
      <c r="G72" s="43"/>
      <c r="K72" s="59"/>
      <c r="N72" s="60"/>
    </row>
    <row r="73" spans="2:20" x14ac:dyDescent="0.25">
      <c r="B73" s="57"/>
      <c r="C73" s="43"/>
      <c r="E73" s="58"/>
      <c r="G73" s="43"/>
      <c r="K73" s="59"/>
      <c r="N73" s="60"/>
    </row>
    <row r="74" spans="2:20" x14ac:dyDescent="0.25">
      <c r="B74" s="33">
        <v>1</v>
      </c>
      <c r="C74" s="16">
        <f t="shared" ref="C74:C83" si="24">S56</f>
        <v>41858959.68</v>
      </c>
      <c r="D74" s="48">
        <v>0</v>
      </c>
      <c r="E74" s="48"/>
      <c r="F74" s="48"/>
      <c r="G74" s="48"/>
      <c r="H74" s="48"/>
      <c r="I74" s="34">
        <f t="shared" ref="I74:I83" si="25">SUM(C74:H74)</f>
        <v>41858959.68</v>
      </c>
      <c r="J74" s="61"/>
      <c r="K74" s="48">
        <v>0</v>
      </c>
      <c r="L74" s="38">
        <f t="shared" ref="L74:L83" si="26">+D74-E74+J74-K74</f>
        <v>0</v>
      </c>
      <c r="M74" s="39">
        <f t="shared" ref="M74:M83" si="27">L74</f>
        <v>0</v>
      </c>
      <c r="N74" s="38">
        <f t="shared" ref="N74:N83" si="28">IF((I74-K74)&lt;0,0,I74-K74)</f>
        <v>41858959.68</v>
      </c>
      <c r="O74" s="40">
        <v>0.04</v>
      </c>
      <c r="R74" s="62">
        <f>(C74+(D74*1))*O74</f>
        <v>1674358.3872</v>
      </c>
      <c r="S74" s="16">
        <f t="shared" ref="S74:S83" si="29">N74-R74</f>
        <v>40184601.292800002</v>
      </c>
    </row>
    <row r="75" spans="2:20" x14ac:dyDescent="0.25">
      <c r="B75" s="33" t="s">
        <v>30</v>
      </c>
      <c r="C75" s="16">
        <f t="shared" si="24"/>
        <v>2698020.9</v>
      </c>
      <c r="D75" s="48">
        <v>398900</v>
      </c>
      <c r="E75" s="48"/>
      <c r="F75" s="48"/>
      <c r="G75" s="48"/>
      <c r="H75" s="48"/>
      <c r="I75" s="34">
        <f t="shared" si="25"/>
        <v>3096920.9</v>
      </c>
      <c r="J75" s="61"/>
      <c r="K75" s="48">
        <v>0</v>
      </c>
      <c r="L75" s="38">
        <f t="shared" si="26"/>
        <v>398900</v>
      </c>
      <c r="M75" s="39">
        <f t="shared" si="27"/>
        <v>398900</v>
      </c>
      <c r="N75" s="38">
        <f t="shared" si="28"/>
        <v>3096920.9</v>
      </c>
      <c r="O75" s="40">
        <v>0.06</v>
      </c>
      <c r="R75" s="62">
        <f>(C75+(D75*1))*O75</f>
        <v>185815.25399999999</v>
      </c>
      <c r="S75" s="16">
        <f t="shared" si="29"/>
        <v>2911105.6459999997</v>
      </c>
    </row>
    <row r="76" spans="2:20" x14ac:dyDescent="0.25">
      <c r="B76" s="33">
        <v>8</v>
      </c>
      <c r="C76" s="16">
        <f t="shared" si="24"/>
        <v>1626978.4</v>
      </c>
      <c r="D76" s="63">
        <v>112167.97</v>
      </c>
      <c r="E76" s="48"/>
      <c r="F76" s="48"/>
      <c r="G76" s="48"/>
      <c r="H76" s="48"/>
      <c r="I76" s="34">
        <f t="shared" si="25"/>
        <v>1739146.3699999999</v>
      </c>
      <c r="J76" s="61"/>
      <c r="K76" s="48">
        <v>0</v>
      </c>
      <c r="L76" s="38">
        <f t="shared" si="26"/>
        <v>112167.97</v>
      </c>
      <c r="M76" s="39">
        <f t="shared" si="27"/>
        <v>112167.97</v>
      </c>
      <c r="N76" s="38">
        <f t="shared" si="28"/>
        <v>1739146.3699999999</v>
      </c>
      <c r="O76" s="40">
        <v>0.2</v>
      </c>
      <c r="R76" s="62">
        <f>(C76+(D76*1))*O76</f>
        <v>347829.27399999998</v>
      </c>
      <c r="S76" s="16">
        <f t="shared" si="29"/>
        <v>1391317.0959999999</v>
      </c>
    </row>
    <row r="77" spans="2:20" x14ac:dyDescent="0.25">
      <c r="B77" s="33">
        <v>10</v>
      </c>
      <c r="C77" s="16">
        <f t="shared" si="24"/>
        <v>363876.8</v>
      </c>
      <c r="D77" s="63">
        <v>736785</v>
      </c>
      <c r="E77" s="34"/>
      <c r="G77" s="48"/>
      <c r="H77" s="48"/>
      <c r="I77" s="34">
        <f t="shared" si="25"/>
        <v>1100661.8</v>
      </c>
      <c r="J77" s="64"/>
      <c r="K77" s="48">
        <v>0</v>
      </c>
      <c r="L77" s="38">
        <f t="shared" si="26"/>
        <v>736785</v>
      </c>
      <c r="M77" s="39">
        <f t="shared" si="27"/>
        <v>736785</v>
      </c>
      <c r="N77" s="38">
        <f t="shared" si="28"/>
        <v>1100661.8</v>
      </c>
      <c r="O77" s="47">
        <v>0.3</v>
      </c>
      <c r="R77" s="62">
        <f>(C77+(D77*1))*O77</f>
        <v>330198.53999999998</v>
      </c>
      <c r="S77" s="16">
        <f t="shared" si="29"/>
        <v>770463.26</v>
      </c>
    </row>
    <row r="78" spans="2:20" x14ac:dyDescent="0.25">
      <c r="B78" s="33">
        <v>12</v>
      </c>
      <c r="C78" s="16">
        <f t="shared" si="24"/>
        <v>0</v>
      </c>
      <c r="D78" s="48">
        <v>706281.71</v>
      </c>
      <c r="E78" s="48"/>
      <c r="F78" s="66"/>
      <c r="G78" s="48"/>
      <c r="H78" s="48"/>
      <c r="I78" s="34">
        <f t="shared" si="25"/>
        <v>706281.71</v>
      </c>
      <c r="J78" s="64"/>
      <c r="K78" s="48">
        <v>0</v>
      </c>
      <c r="L78" s="38">
        <f t="shared" si="26"/>
        <v>706281.71</v>
      </c>
      <c r="M78" s="39">
        <f t="shared" si="27"/>
        <v>706281.71</v>
      </c>
      <c r="N78" s="38">
        <f>IF((I78-K78)&lt;0,0,I78-K78)</f>
        <v>706281.71</v>
      </c>
      <c r="O78" s="47">
        <v>1</v>
      </c>
      <c r="R78" s="62">
        <f>(C78+(D78*1))*O78</f>
        <v>706281.71</v>
      </c>
      <c r="S78" s="16">
        <f t="shared" si="29"/>
        <v>0</v>
      </c>
    </row>
    <row r="79" spans="2:20" x14ac:dyDescent="0.25">
      <c r="B79" s="33">
        <v>14.1</v>
      </c>
      <c r="C79" s="16">
        <f t="shared" si="24"/>
        <v>3355603.15</v>
      </c>
      <c r="D79" s="48">
        <v>0</v>
      </c>
      <c r="E79" s="48"/>
      <c r="F79" s="66">
        <v>-140700</v>
      </c>
      <c r="G79" s="48"/>
      <c r="H79" s="48"/>
      <c r="I79" s="34">
        <f t="shared" si="25"/>
        <v>3214903.15</v>
      </c>
      <c r="J79" s="64"/>
      <c r="K79" s="48">
        <v>0</v>
      </c>
      <c r="L79" s="38">
        <f t="shared" si="26"/>
        <v>0</v>
      </c>
      <c r="M79" s="39">
        <f t="shared" si="27"/>
        <v>0</v>
      </c>
      <c r="N79" s="38">
        <f t="shared" si="28"/>
        <v>3214903.15</v>
      </c>
      <c r="O79" s="47">
        <v>0.05</v>
      </c>
      <c r="R79" s="41">
        <v>187306</v>
      </c>
      <c r="S79" s="16">
        <f t="shared" si="29"/>
        <v>3027597.15</v>
      </c>
      <c r="T79" s="3" t="s">
        <v>31</v>
      </c>
    </row>
    <row r="80" spans="2:20" x14ac:dyDescent="0.25">
      <c r="B80" s="33">
        <v>43.2</v>
      </c>
      <c r="C80" s="16">
        <f t="shared" si="24"/>
        <v>6440.5</v>
      </c>
      <c r="D80" s="48">
        <v>10000</v>
      </c>
      <c r="E80" s="48"/>
      <c r="F80" s="66"/>
      <c r="G80" s="48"/>
      <c r="H80" s="48"/>
      <c r="I80" s="34">
        <f t="shared" si="25"/>
        <v>16440.5</v>
      </c>
      <c r="J80" s="64"/>
      <c r="K80" s="48">
        <v>0</v>
      </c>
      <c r="L80" s="38">
        <f t="shared" si="26"/>
        <v>10000</v>
      </c>
      <c r="M80" s="39">
        <f t="shared" si="27"/>
        <v>10000</v>
      </c>
      <c r="N80" s="38">
        <f t="shared" si="28"/>
        <v>16440.5</v>
      </c>
      <c r="O80" s="47">
        <v>0.5</v>
      </c>
      <c r="R80" s="41">
        <v>10720.25</v>
      </c>
      <c r="S80" s="16">
        <f t="shared" si="29"/>
        <v>5720.25</v>
      </c>
      <c r="T80" s="3"/>
    </row>
    <row r="81" spans="2:19" x14ac:dyDescent="0.25">
      <c r="B81" s="33">
        <v>45</v>
      </c>
      <c r="C81" s="16">
        <f t="shared" si="24"/>
        <v>4</v>
      </c>
      <c r="D81" s="48">
        <v>0</v>
      </c>
      <c r="E81" s="48"/>
      <c r="F81" s="48"/>
      <c r="G81" s="48"/>
      <c r="H81" s="48"/>
      <c r="I81" s="34">
        <f t="shared" si="25"/>
        <v>4</v>
      </c>
      <c r="J81" s="64"/>
      <c r="K81" s="48">
        <v>0</v>
      </c>
      <c r="L81" s="38">
        <f t="shared" si="26"/>
        <v>0</v>
      </c>
      <c r="M81" s="39">
        <f t="shared" si="27"/>
        <v>0</v>
      </c>
      <c r="N81" s="38">
        <f t="shared" si="28"/>
        <v>4</v>
      </c>
      <c r="O81" s="47">
        <v>0.35</v>
      </c>
      <c r="R81" s="41">
        <v>1.8199999999999998</v>
      </c>
      <c r="S81" s="16">
        <f t="shared" si="29"/>
        <v>2.1800000000000002</v>
      </c>
    </row>
    <row r="82" spans="2:19" x14ac:dyDescent="0.25">
      <c r="B82" s="33">
        <v>47</v>
      </c>
      <c r="C82" s="16">
        <f t="shared" si="24"/>
        <v>65395907.359999999</v>
      </c>
      <c r="D82" s="34">
        <v>10610839</v>
      </c>
      <c r="E82" s="34"/>
      <c r="F82" s="34"/>
      <c r="G82" s="34"/>
      <c r="H82" s="34"/>
      <c r="I82" s="34">
        <f t="shared" si="25"/>
        <v>76006746.359999999</v>
      </c>
      <c r="J82" s="67"/>
      <c r="K82" s="34">
        <v>0</v>
      </c>
      <c r="L82" s="38">
        <f t="shared" si="26"/>
        <v>10610839</v>
      </c>
      <c r="M82" s="39">
        <f t="shared" si="27"/>
        <v>10610839</v>
      </c>
      <c r="N82" s="38">
        <f t="shared" si="28"/>
        <v>76006746.359999999</v>
      </c>
      <c r="O82" s="47">
        <v>0.08</v>
      </c>
      <c r="R82" s="62">
        <f>(C82+(D82*1))*O82</f>
        <v>6080539.7088000001</v>
      </c>
      <c r="S82" s="16">
        <f t="shared" si="29"/>
        <v>69926206.651199996</v>
      </c>
    </row>
    <row r="83" spans="2:19" x14ac:dyDescent="0.25">
      <c r="B83" s="33">
        <v>50</v>
      </c>
      <c r="C83" s="16">
        <f t="shared" si="24"/>
        <v>117292.95000000001</v>
      </c>
      <c r="D83" s="34">
        <v>78000</v>
      </c>
      <c r="E83" s="34"/>
      <c r="F83" s="34"/>
      <c r="G83" s="34"/>
      <c r="H83" s="34"/>
      <c r="I83" s="34">
        <f t="shared" si="25"/>
        <v>195292.95</v>
      </c>
      <c r="J83" s="67"/>
      <c r="K83" s="34">
        <v>0</v>
      </c>
      <c r="L83" s="38">
        <f t="shared" si="26"/>
        <v>78000</v>
      </c>
      <c r="M83" s="39">
        <f t="shared" si="27"/>
        <v>78000</v>
      </c>
      <c r="N83" s="38">
        <f t="shared" si="28"/>
        <v>195292.95</v>
      </c>
      <c r="O83" s="47">
        <v>0.55000000000000004</v>
      </c>
      <c r="R83" s="41">
        <v>107411.12250000001</v>
      </c>
      <c r="S83" s="16">
        <f t="shared" si="29"/>
        <v>87881.827499999999</v>
      </c>
    </row>
    <row r="84" spans="2:19" x14ac:dyDescent="0.25">
      <c r="B84" s="33"/>
      <c r="C84" s="16"/>
      <c r="D84" s="34"/>
      <c r="E84" s="34"/>
      <c r="F84" s="34"/>
      <c r="G84" s="34"/>
      <c r="H84" s="34"/>
      <c r="I84" s="34"/>
      <c r="J84" s="67"/>
      <c r="K84" s="34"/>
      <c r="L84" s="38"/>
      <c r="M84" s="39"/>
      <c r="N84" s="38"/>
      <c r="O84" s="47"/>
      <c r="R84" s="41"/>
    </row>
    <row r="85" spans="2:19" ht="15" thickBot="1" x14ac:dyDescent="0.3">
      <c r="C85" s="52">
        <f t="shared" ref="C85:I85" si="30">SUM(C74:C83)</f>
        <v>115423083.73999999</v>
      </c>
      <c r="D85" s="52">
        <f t="shared" si="30"/>
        <v>12652973.68</v>
      </c>
      <c r="E85" s="52">
        <f t="shared" si="30"/>
        <v>0</v>
      </c>
      <c r="F85" s="52">
        <f t="shared" si="30"/>
        <v>-140700</v>
      </c>
      <c r="G85" s="52">
        <f t="shared" si="30"/>
        <v>0</v>
      </c>
      <c r="H85" s="52">
        <f t="shared" si="30"/>
        <v>0</v>
      </c>
      <c r="I85" s="52">
        <f t="shared" si="30"/>
        <v>127935357.42</v>
      </c>
      <c r="J85" s="52"/>
      <c r="K85" s="52">
        <f t="shared" ref="K85:S85" si="31">SUM(K74:K83)</f>
        <v>0</v>
      </c>
      <c r="L85" s="52">
        <f t="shared" si="31"/>
        <v>12652973.68</v>
      </c>
      <c r="M85" s="52">
        <f t="shared" si="31"/>
        <v>12652973.68</v>
      </c>
      <c r="N85" s="52">
        <f t="shared" si="31"/>
        <v>127935357.42</v>
      </c>
      <c r="O85" s="52"/>
      <c r="P85" s="52">
        <f t="shared" si="31"/>
        <v>0</v>
      </c>
      <c r="Q85" s="52">
        <f t="shared" si="31"/>
        <v>0</v>
      </c>
      <c r="R85" s="54">
        <f t="shared" si="31"/>
        <v>9630462.0665000007</v>
      </c>
      <c r="S85" s="52">
        <f t="shared" si="31"/>
        <v>118304895.35349999</v>
      </c>
    </row>
    <row r="86" spans="2:19" ht="15" thickTop="1" x14ac:dyDescent="0.25">
      <c r="R86" s="9" t="s">
        <v>4</v>
      </c>
    </row>
    <row r="88" spans="2:19" x14ac:dyDescent="0.25">
      <c r="S88" s="16"/>
    </row>
    <row r="91" spans="2:19" x14ac:dyDescent="0.25">
      <c r="B91" s="78" t="s">
        <v>31</v>
      </c>
      <c r="C91" s="3" t="s">
        <v>35</v>
      </c>
    </row>
    <row r="92" spans="2:19" x14ac:dyDescent="0.25">
      <c r="B92" s="78"/>
      <c r="C92" s="3"/>
    </row>
    <row r="93" spans="2:19" x14ac:dyDescent="0.25">
      <c r="B93" s="78"/>
      <c r="C93" s="3"/>
    </row>
    <row r="94" spans="2:19" x14ac:dyDescent="0.25">
      <c r="B94" s="78"/>
      <c r="C94" s="3"/>
    </row>
    <row r="95" spans="2:19" x14ac:dyDescent="0.25">
      <c r="B95" s="78"/>
      <c r="C95" s="3"/>
    </row>
  </sheetData>
  <conditionalFormatting sqref="M17:M27 M74:M84">
    <cfRule type="expression" dxfId="2" priority="3" stopIfTrue="1">
      <formula>LEN(M17)&gt;0</formula>
    </cfRule>
  </conditionalFormatting>
  <conditionalFormatting sqref="M33:M42">
    <cfRule type="expression" dxfId="1" priority="1" stopIfTrue="1">
      <formula>LEN(M33)&gt;0</formula>
    </cfRule>
  </conditionalFormatting>
  <conditionalFormatting sqref="M56:M65">
    <cfRule type="expression" dxfId="0" priority="2" stopIfTrue="1">
      <formula>LEN(M56)&gt;0</formula>
    </cfRule>
  </conditionalFormatting>
  <pageMargins left="0.7" right="0.7" top="0.75" bottom="0.75" header="0.3" footer="0.3"/>
  <pageSetup scale="3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BHI 24-25 AIIP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 Blackwell</dc:creator>
  <cp:lastModifiedBy>Sally Blackwell</cp:lastModifiedBy>
  <dcterms:created xsi:type="dcterms:W3CDTF">2025-07-19T21:44:01Z</dcterms:created>
  <dcterms:modified xsi:type="dcterms:W3CDTF">2025-07-19T21:45:16Z</dcterms:modified>
</cp:coreProperties>
</file>