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ulatory Affairs\Rate Applications\2026 Cost of Service (EB-2025-0014)\5. Submission\4. Submission_IRR_June 30,2025\Excel attachments\"/>
    </mc:Choice>
  </mc:AlternateContent>
  <xr:revisionPtr revIDLastSave="0" documentId="13_ncr:1_{B5285942-CE8B-416D-ADCF-B3F100E9F57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GS&gt;50" sheetId="1" r:id="rId1"/>
    <sheet name="GS &lt; 50" sheetId="2" r:id="rId2"/>
    <sheet name="Residential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22" i="1"/>
  <c r="Q6" i="1"/>
  <c r="Q7" i="1"/>
  <c r="Q8" i="1"/>
  <c r="Q9" i="1"/>
  <c r="Q10" i="1"/>
  <c r="Q11" i="1"/>
  <c r="Q12" i="1"/>
  <c r="Q13" i="1"/>
  <c r="Q14" i="1"/>
  <c r="Q15" i="1"/>
  <c r="Q16" i="1"/>
  <c r="Q17" i="1"/>
  <c r="O6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22" i="1"/>
  <c r="P22" i="1"/>
  <c r="N22" i="1"/>
  <c r="P6" i="1"/>
  <c r="N6" i="1"/>
  <c r="O7" i="1"/>
  <c r="O8" i="1"/>
  <c r="O9" i="1"/>
  <c r="O10" i="1"/>
  <c r="O11" i="1"/>
  <c r="O12" i="1"/>
  <c r="O13" i="1"/>
  <c r="O14" i="1"/>
  <c r="O15" i="1"/>
  <c r="O16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7" i="1"/>
  <c r="P8" i="1"/>
  <c r="P9" i="1"/>
  <c r="P10" i="1"/>
  <c r="P11" i="1"/>
  <c r="P12" i="1"/>
  <c r="P13" i="1"/>
  <c r="P14" i="1"/>
  <c r="P15" i="1"/>
  <c r="P16" i="1"/>
  <c r="P17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7" i="1"/>
  <c r="N8" i="1"/>
  <c r="N9" i="1"/>
  <c r="N10" i="1"/>
  <c r="N11" i="1"/>
  <c r="N12" i="1"/>
  <c r="N13" i="1"/>
  <c r="N14" i="1"/>
  <c r="N15" i="1"/>
  <c r="N16" i="1"/>
  <c r="N17" i="1"/>
  <c r="I16" i="1"/>
  <c r="I14" i="1"/>
  <c r="I12" i="1"/>
  <c r="I7" i="1"/>
  <c r="I6" i="1"/>
  <c r="I35" i="1"/>
  <c r="I32" i="1"/>
  <c r="I31" i="1"/>
  <c r="I30" i="1"/>
  <c r="I28" i="1"/>
  <c r="I26" i="1"/>
  <c r="I25" i="1"/>
  <c r="I24" i="1"/>
  <c r="D30" i="1"/>
  <c r="D29" i="1"/>
  <c r="D23" i="1"/>
  <c r="D22" i="1"/>
  <c r="D16" i="1"/>
  <c r="D13" i="1"/>
  <c r="G34" i="2" l="1"/>
  <c r="G33" i="2"/>
  <c r="G32" i="2"/>
  <c r="G30" i="2"/>
  <c r="G29" i="2"/>
  <c r="G28" i="2"/>
  <c r="G27" i="2"/>
  <c r="G25" i="2"/>
  <c r="G23" i="2"/>
  <c r="G22" i="2"/>
  <c r="G21" i="2"/>
  <c r="G24" i="2"/>
  <c r="G31" i="2"/>
  <c r="G35" i="2"/>
  <c r="G26" i="2"/>
  <c r="G16" i="2"/>
  <c r="G15" i="2"/>
  <c r="G14" i="2"/>
  <c r="G13" i="2"/>
  <c r="G12" i="2"/>
  <c r="G11" i="2"/>
  <c r="G10" i="2"/>
  <c r="G9" i="2"/>
  <c r="G8" i="2"/>
  <c r="G7" i="2"/>
  <c r="G6" i="2"/>
  <c r="G5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6" i="2"/>
  <c r="C15" i="2"/>
  <c r="C14" i="2"/>
  <c r="C13" i="2"/>
  <c r="C12" i="2"/>
  <c r="C11" i="2"/>
  <c r="C10" i="2"/>
  <c r="C9" i="2"/>
  <c r="C8" i="2"/>
  <c r="C7" i="2"/>
  <c r="C6" i="2"/>
  <c r="C5" i="2"/>
  <c r="C33" i="6" l="1"/>
  <c r="F35" i="6"/>
  <c r="F31" i="6"/>
  <c r="F26" i="6"/>
  <c r="H26" i="6" s="1"/>
  <c r="I26" i="6" s="1"/>
  <c r="F24" i="6"/>
  <c r="H24" i="6" s="1"/>
  <c r="I24" i="6" s="1"/>
  <c r="C35" i="6"/>
  <c r="C16" i="6"/>
  <c r="C34" i="6"/>
  <c r="D34" i="6" s="1"/>
  <c r="E34" i="6" s="1"/>
  <c r="C32" i="6"/>
  <c r="D32" i="6" s="1"/>
  <c r="E32" i="6" s="1"/>
  <c r="C31" i="6"/>
  <c r="C30" i="6"/>
  <c r="C29" i="6"/>
  <c r="C28" i="6"/>
  <c r="C27" i="6"/>
  <c r="D27" i="6" s="1"/>
  <c r="E27" i="6" s="1"/>
  <c r="C26" i="6"/>
  <c r="C25" i="6"/>
  <c r="D25" i="6" s="1"/>
  <c r="E25" i="6" s="1"/>
  <c r="C24" i="6"/>
  <c r="C23" i="6"/>
  <c r="C22" i="6"/>
  <c r="D22" i="6" s="1"/>
  <c r="E22" i="6" s="1"/>
  <c r="C21" i="6"/>
  <c r="D21" i="6" s="1"/>
  <c r="E21" i="6" s="1"/>
  <c r="D16" i="6"/>
  <c r="E16" i="6" s="1"/>
  <c r="C15" i="6"/>
  <c r="D15" i="6" s="1"/>
  <c r="E15" i="6" s="1"/>
  <c r="C14" i="6"/>
  <c r="C13" i="6"/>
  <c r="C12" i="6"/>
  <c r="C11" i="6"/>
  <c r="C10" i="6"/>
  <c r="D10" i="6" s="1"/>
  <c r="E10" i="6" s="1"/>
  <c r="C9" i="6"/>
  <c r="D9" i="6" s="1"/>
  <c r="E9" i="6" s="1"/>
  <c r="C8" i="6"/>
  <c r="D8" i="6" s="1"/>
  <c r="E8" i="6" s="1"/>
  <c r="C7" i="6"/>
  <c r="D7" i="6" s="1"/>
  <c r="E7" i="6" s="1"/>
  <c r="C6" i="6"/>
  <c r="C5" i="6"/>
  <c r="D5" i="6" s="1"/>
  <c r="E5" i="6" s="1"/>
  <c r="D33" i="6"/>
  <c r="E33" i="6" s="1"/>
  <c r="D31" i="6"/>
  <c r="E31" i="6" s="1"/>
  <c r="D30" i="6"/>
  <c r="E30" i="6" s="1"/>
  <c r="D29" i="6"/>
  <c r="E29" i="6" s="1"/>
  <c r="D28" i="6"/>
  <c r="E28" i="6" s="1"/>
  <c r="D12" i="6"/>
  <c r="E12" i="6" s="1"/>
  <c r="D35" i="6"/>
  <c r="E35" i="6" s="1"/>
  <c r="C12" i="1"/>
  <c r="D35" i="2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5" i="6"/>
  <c r="I25" i="6" s="1"/>
  <c r="H23" i="6"/>
  <c r="I23" i="6" s="1"/>
  <c r="H22" i="6"/>
  <c r="I22" i="6" s="1"/>
  <c r="H21" i="6"/>
  <c r="I21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D26" i="6" l="1"/>
  <c r="E26" i="6" s="1"/>
  <c r="D24" i="6"/>
  <c r="E24" i="6" s="1"/>
  <c r="J24" i="6" s="1"/>
  <c r="D23" i="6"/>
  <c r="E23" i="6" s="1"/>
  <c r="D6" i="6"/>
  <c r="E6" i="6" s="1"/>
  <c r="D11" i="6"/>
  <c r="E11" i="6" s="1"/>
  <c r="J11" i="6" s="1"/>
  <c r="D13" i="6"/>
  <c r="E13" i="6" s="1"/>
  <c r="J13" i="6" s="1"/>
  <c r="D14" i="6"/>
  <c r="E14" i="6" s="1"/>
  <c r="J14" i="6" s="1"/>
  <c r="J31" i="6"/>
  <c r="J27" i="6"/>
  <c r="J16" i="6"/>
  <c r="J8" i="6"/>
  <c r="J7" i="6"/>
  <c r="J12" i="6"/>
  <c r="J26" i="6"/>
  <c r="I36" i="6"/>
  <c r="J21" i="6"/>
  <c r="J32" i="6"/>
  <c r="J22" i="6"/>
  <c r="J28" i="6"/>
  <c r="J33" i="6"/>
  <c r="J9" i="6"/>
  <c r="J23" i="6"/>
  <c r="I17" i="6"/>
  <c r="J5" i="6"/>
  <c r="J29" i="6"/>
  <c r="J10" i="6"/>
  <c r="J34" i="6"/>
  <c r="J15" i="6"/>
  <c r="J30" i="6"/>
  <c r="J6" i="6"/>
  <c r="J25" i="6"/>
  <c r="J35" i="6"/>
  <c r="C16" i="1"/>
  <c r="D32" i="2"/>
  <c r="E36" i="6" l="1"/>
  <c r="J36" i="6" s="1"/>
  <c r="E17" i="6"/>
  <c r="J17" i="6" s="1"/>
  <c r="H35" i="2"/>
  <c r="I35" i="2" s="1"/>
  <c r="E35" i="2"/>
  <c r="H34" i="2"/>
  <c r="I34" i="2" s="1"/>
  <c r="D34" i="2"/>
  <c r="E34" i="2" s="1"/>
  <c r="H33" i="2"/>
  <c r="I33" i="2" s="1"/>
  <c r="D33" i="2"/>
  <c r="E33" i="2" s="1"/>
  <c r="H32" i="2"/>
  <c r="I32" i="2" s="1"/>
  <c r="E32" i="2"/>
  <c r="H31" i="2"/>
  <c r="I31" i="2" s="1"/>
  <c r="D31" i="2"/>
  <c r="E31" i="2" s="1"/>
  <c r="H30" i="2"/>
  <c r="I30" i="2" s="1"/>
  <c r="D30" i="2"/>
  <c r="E30" i="2" s="1"/>
  <c r="H29" i="2"/>
  <c r="I29" i="2" s="1"/>
  <c r="D29" i="2"/>
  <c r="E29" i="2" s="1"/>
  <c r="H28" i="2"/>
  <c r="I28" i="2" s="1"/>
  <c r="D28" i="2"/>
  <c r="E28" i="2" s="1"/>
  <c r="H27" i="2"/>
  <c r="I27" i="2" s="1"/>
  <c r="D27" i="2"/>
  <c r="E27" i="2" s="1"/>
  <c r="H26" i="2"/>
  <c r="I26" i="2" s="1"/>
  <c r="D26" i="2"/>
  <c r="E26" i="2" s="1"/>
  <c r="H25" i="2"/>
  <c r="I25" i="2" s="1"/>
  <c r="D25" i="2"/>
  <c r="E25" i="2" s="1"/>
  <c r="H24" i="2"/>
  <c r="I24" i="2" s="1"/>
  <c r="D24" i="2"/>
  <c r="E24" i="2" s="1"/>
  <c r="H23" i="2"/>
  <c r="I23" i="2" s="1"/>
  <c r="D23" i="2"/>
  <c r="E23" i="2" s="1"/>
  <c r="H22" i="2"/>
  <c r="I22" i="2" s="1"/>
  <c r="D22" i="2"/>
  <c r="E22" i="2" s="1"/>
  <c r="H21" i="2"/>
  <c r="I21" i="2" s="1"/>
  <c r="D21" i="2"/>
  <c r="E21" i="2" s="1"/>
  <c r="H16" i="2"/>
  <c r="I16" i="2" s="1"/>
  <c r="D16" i="2"/>
  <c r="E16" i="2" s="1"/>
  <c r="H15" i="2"/>
  <c r="I15" i="2" s="1"/>
  <c r="D15" i="2"/>
  <c r="E15" i="2" s="1"/>
  <c r="H14" i="2"/>
  <c r="I14" i="2" s="1"/>
  <c r="D14" i="2"/>
  <c r="E14" i="2" s="1"/>
  <c r="H13" i="2"/>
  <c r="I13" i="2" s="1"/>
  <c r="D13" i="2"/>
  <c r="E13" i="2" s="1"/>
  <c r="H12" i="2"/>
  <c r="I12" i="2" s="1"/>
  <c r="D12" i="2"/>
  <c r="E12" i="2" s="1"/>
  <c r="H11" i="2"/>
  <c r="I11" i="2" s="1"/>
  <c r="D11" i="2"/>
  <c r="E11" i="2" s="1"/>
  <c r="H10" i="2"/>
  <c r="I10" i="2" s="1"/>
  <c r="D10" i="2"/>
  <c r="E10" i="2" s="1"/>
  <c r="H9" i="2"/>
  <c r="I9" i="2" s="1"/>
  <c r="D9" i="2"/>
  <c r="E9" i="2" s="1"/>
  <c r="H8" i="2"/>
  <c r="I8" i="2" s="1"/>
  <c r="D8" i="2"/>
  <c r="E8" i="2" s="1"/>
  <c r="H7" i="2"/>
  <c r="I7" i="2" s="1"/>
  <c r="D7" i="2"/>
  <c r="E7" i="2" s="1"/>
  <c r="H6" i="2"/>
  <c r="I6" i="2" s="1"/>
  <c r="D6" i="2"/>
  <c r="E6" i="2" s="1"/>
  <c r="H5" i="2"/>
  <c r="I5" i="2" s="1"/>
  <c r="D5" i="2"/>
  <c r="E5" i="2" s="1"/>
  <c r="J35" i="1"/>
  <c r="K35" i="1" s="1"/>
  <c r="J28" i="1"/>
  <c r="K28" i="1" s="1"/>
  <c r="J24" i="1"/>
  <c r="K24" i="1" s="1"/>
  <c r="J6" i="1"/>
  <c r="K6" i="1" s="1"/>
  <c r="J32" i="1"/>
  <c r="K32" i="1" s="1"/>
  <c r="J12" i="1"/>
  <c r="K12" i="1" s="1"/>
  <c r="J10" i="1"/>
  <c r="K10" i="1" s="1"/>
  <c r="J25" i="1"/>
  <c r="K25" i="1" s="1"/>
  <c r="J7" i="1"/>
  <c r="K7" i="1" s="1"/>
  <c r="J14" i="1"/>
  <c r="K14" i="1" s="1"/>
  <c r="J31" i="1"/>
  <c r="K31" i="1" s="1"/>
  <c r="J26" i="1"/>
  <c r="K26" i="1" s="1"/>
  <c r="J30" i="1"/>
  <c r="K30" i="1" s="1"/>
  <c r="E22" i="1"/>
  <c r="F22" i="1" s="1"/>
  <c r="J22" i="1"/>
  <c r="K22" i="1" s="1"/>
  <c r="E23" i="1"/>
  <c r="F23" i="1" s="1"/>
  <c r="E34" i="1"/>
  <c r="F34" i="1" s="1"/>
  <c r="E30" i="1"/>
  <c r="F30" i="1" s="1"/>
  <c r="J34" i="1"/>
  <c r="K34" i="1" s="1"/>
  <c r="J33" i="1"/>
  <c r="K33" i="1" s="1"/>
  <c r="J29" i="1"/>
  <c r="K29" i="1" s="1"/>
  <c r="J27" i="1"/>
  <c r="K27" i="1" s="1"/>
  <c r="J23" i="1"/>
  <c r="K23" i="1" s="1"/>
  <c r="E35" i="1"/>
  <c r="F35" i="1" s="1"/>
  <c r="E33" i="1"/>
  <c r="F33" i="1" s="1"/>
  <c r="E32" i="1"/>
  <c r="F32" i="1" s="1"/>
  <c r="E31" i="1"/>
  <c r="F31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J36" i="1"/>
  <c r="K36" i="1" s="1"/>
  <c r="E36" i="1"/>
  <c r="F36" i="1" s="1"/>
  <c r="J16" i="1"/>
  <c r="K16" i="1" s="1"/>
  <c r="J15" i="1"/>
  <c r="K15" i="1" s="1"/>
  <c r="J13" i="1"/>
  <c r="K13" i="1" s="1"/>
  <c r="J11" i="1"/>
  <c r="K11" i="1" s="1"/>
  <c r="J9" i="1"/>
  <c r="K9" i="1" s="1"/>
  <c r="J8" i="1"/>
  <c r="K8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J17" i="1"/>
  <c r="K17" i="1" s="1"/>
  <c r="E17" i="1"/>
  <c r="F17" i="1" s="1"/>
  <c r="I36" i="2" l="1"/>
  <c r="J26" i="2"/>
  <c r="J31" i="2"/>
  <c r="J23" i="2"/>
  <c r="J29" i="2"/>
  <c r="J34" i="2"/>
  <c r="J25" i="2"/>
  <c r="J7" i="2"/>
  <c r="J12" i="2"/>
  <c r="J9" i="2"/>
  <c r="J14" i="2"/>
  <c r="J16" i="2"/>
  <c r="J10" i="2"/>
  <c r="J5" i="2"/>
  <c r="J6" i="2"/>
  <c r="J33" i="2"/>
  <c r="J27" i="2"/>
  <c r="J32" i="2"/>
  <c r="J28" i="2"/>
  <c r="J24" i="2"/>
  <c r="E17" i="2"/>
  <c r="J22" i="2"/>
  <c r="J11" i="2"/>
  <c r="J15" i="2"/>
  <c r="J8" i="2"/>
  <c r="J21" i="2"/>
  <c r="E36" i="2"/>
  <c r="J13" i="2"/>
  <c r="J30" i="2"/>
  <c r="J35" i="2"/>
  <c r="I17" i="2"/>
  <c r="K18" i="1"/>
  <c r="K37" i="1"/>
  <c r="F37" i="1"/>
  <c r="L36" i="1"/>
  <c r="L17" i="1"/>
  <c r="F18" i="1"/>
  <c r="L22" i="1"/>
  <c r="L26" i="1"/>
  <c r="L35" i="1"/>
  <c r="L28" i="1"/>
  <c r="L24" i="1"/>
  <c r="L29" i="1"/>
  <c r="L33" i="1"/>
  <c r="L31" i="1"/>
  <c r="L23" i="1"/>
  <c r="L34" i="1"/>
  <c r="L30" i="1"/>
  <c r="L32" i="1"/>
  <c r="L27" i="1"/>
  <c r="L25" i="1"/>
  <c r="L11" i="1"/>
  <c r="L6" i="1"/>
  <c r="L13" i="1"/>
  <c r="L10" i="1"/>
  <c r="L12" i="1"/>
  <c r="L15" i="1"/>
  <c r="L7" i="1"/>
  <c r="L9" i="1"/>
  <c r="L14" i="1"/>
  <c r="L16" i="1"/>
  <c r="L8" i="1"/>
  <c r="L18" i="1" l="1"/>
  <c r="J36" i="2"/>
  <c r="J17" i="2"/>
  <c r="L37" i="1"/>
</calcChain>
</file>

<file path=xl/sharedStrings.xml><?xml version="1.0" encoding="utf-8"?>
<sst xmlns="http://schemas.openxmlformats.org/spreadsheetml/2006/main" count="163" uniqueCount="41">
  <si>
    <t>Rates Comparison GS&gt;50 Oshawa PUC Networks</t>
  </si>
  <si>
    <t>1-SEC-24</t>
  </si>
  <si>
    <t>Comparison to Similar-Sized LDCs</t>
  </si>
  <si>
    <t>Utility</t>
  </si>
  <si>
    <t>Fixed</t>
  </si>
  <si>
    <t>Variable</t>
  </si>
  <si>
    <t>DVA</t>
  </si>
  <si>
    <t>Total</t>
  </si>
  <si>
    <t>Increase</t>
  </si>
  <si>
    <t>PUC Distribution Inc.</t>
  </si>
  <si>
    <t>Lakeland Power Distribution Ltd.</t>
  </si>
  <si>
    <t>Bluewater Power Distribution Corporation</t>
  </si>
  <si>
    <t>Greater Sudbury Hydro Inc.</t>
  </si>
  <si>
    <t>Niagara Peninsula Energy Inc.</t>
  </si>
  <si>
    <t>Synergy North Corporation</t>
  </si>
  <si>
    <t>Newmarket-Tay Power Distribution</t>
  </si>
  <si>
    <t>Essex Powerlines Corporation</t>
  </si>
  <si>
    <t>Milton Hydro Distribution Inc.</t>
  </si>
  <si>
    <t>Entegrus Powerlines Inc.</t>
  </si>
  <si>
    <t>Oshawa PUC Networks Inc.</t>
  </si>
  <si>
    <t>Averages</t>
  </si>
  <si>
    <t>Comparison to Other Cohort II LDCs</t>
  </si>
  <si>
    <t xml:space="preserve">Fort Frances Power Corporation </t>
  </si>
  <si>
    <t>Hydro 2000 Inc.</t>
  </si>
  <si>
    <t>Rideau St. Lawrence Distribution Inc.</t>
  </si>
  <si>
    <t>Centre Wellington Hydro Ltd.</t>
  </si>
  <si>
    <t>Tillsonburg Hydro Inc.</t>
  </si>
  <si>
    <t>Niagara-on-the-Lake Hydro Inc.</t>
  </si>
  <si>
    <t>Burlington Hydro Inc.</t>
  </si>
  <si>
    <t>EPCOR Electricity Distribution Ontario</t>
  </si>
  <si>
    <t>Kingston Hydro Corporation</t>
  </si>
  <si>
    <t>GrandBridge Energy Inc.</t>
  </si>
  <si>
    <t>Westario Power Inc.</t>
  </si>
  <si>
    <t>Rates Comparison GS&lt;50 Oshawa PUC Networks</t>
  </si>
  <si>
    <t>Oakville Hydro Electricity Distribution Inc.</t>
  </si>
  <si>
    <t>Corrected to 2015 rates (was 2016)</t>
  </si>
  <si>
    <t>Comment</t>
  </si>
  <si>
    <t>GrandBridge had no DVAs in 2015</t>
  </si>
  <si>
    <t>2015 Rank</t>
  </si>
  <si>
    <t>2025 Rank</t>
  </si>
  <si>
    <t>Dif. From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</si>
</sst>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4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2" fontId="5" fillId="0" borderId="1" xfId="0" applyNumberFormat="1" applyFont="1" applyBorder="1"/>
    <xf numFmtId="2" fontId="0" fillId="0" borderId="2" xfId="0" applyNumberFormat="1" applyBorder="1"/>
    <xf numFmtId="2" fontId="5" fillId="0" borderId="2" xfId="0" applyNumberFormat="1" applyFont="1" applyBorder="1"/>
    <xf numFmtId="0" fontId="0" fillId="0" borderId="0" xfId="0"/>
    <xf numFmtId="2" fontId="0" fillId="0" borderId="0" xfId="0" applyNumberFormat="1"/>
    <xf numFmtId="0" fontId="1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"/>
  <sheetViews>
    <sheetView tabSelected="1" workbookViewId="0">
      <selection activeCell="P36" sqref="P36"/>
    </sheetView>
  </sheetViews>
  <sheetFormatPr defaultRowHeight="15" x14ac:dyDescent="0.25"/>
  <cols>
    <col min="1" max="1" width="38.42578125" customWidth="1"/>
    <col min="2" max="5" width="8.5703125" customWidth="1"/>
    <col min="7" max="9" width="8.5703125" customWidth="1"/>
    <col min="10" max="10" width="10.5703125" bestFit="1" customWidth="1"/>
    <col min="13" max="13" width="32.85546875" customWidth="1"/>
    <col min="15" max="15" width="12" bestFit="1" customWidth="1"/>
  </cols>
  <sheetData>
    <row r="2" spans="1:17" ht="22.5" x14ac:dyDescent="0.45">
      <c r="A2" s="3" t="s">
        <v>0</v>
      </c>
    </row>
    <row r="3" spans="1:17" x14ac:dyDescent="0.25">
      <c r="A3" s="4" t="s">
        <v>1</v>
      </c>
    </row>
    <row r="4" spans="1:17" ht="18.75" x14ac:dyDescent="0.4">
      <c r="A4" s="2" t="s">
        <v>2</v>
      </c>
    </row>
    <row r="5" spans="1:17" s="4" customFormat="1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>
        <v>2015</v>
      </c>
      <c r="G5" s="6" t="s">
        <v>4</v>
      </c>
      <c r="H5" s="6" t="s">
        <v>5</v>
      </c>
      <c r="I5" s="6" t="s">
        <v>6</v>
      </c>
      <c r="J5" s="6" t="s">
        <v>7</v>
      </c>
      <c r="K5" s="6">
        <v>2025</v>
      </c>
      <c r="L5" s="7" t="s">
        <v>8</v>
      </c>
      <c r="M5" s="4" t="s">
        <v>36</v>
      </c>
      <c r="N5" s="4" t="s">
        <v>38</v>
      </c>
      <c r="O5" s="4" t="s">
        <v>40</v>
      </c>
      <c r="P5" s="21" t="s">
        <v>39</v>
      </c>
      <c r="Q5" s="21" t="s">
        <v>40</v>
      </c>
    </row>
    <row r="6" spans="1:17" x14ac:dyDescent="0.25">
      <c r="A6" s="8" t="s">
        <v>9</v>
      </c>
      <c r="B6" s="9">
        <v>112.82</v>
      </c>
      <c r="C6" s="17">
        <v>535.95000000000005</v>
      </c>
      <c r="D6" s="9">
        <v>0</v>
      </c>
      <c r="E6" s="9">
        <f t="shared" ref="E6:E16" si="0">SUM(B6:D6)</f>
        <v>648.77</v>
      </c>
      <c r="F6" s="9">
        <f t="shared" ref="F6:F16" si="1">+E6*12</f>
        <v>7785.24</v>
      </c>
      <c r="G6" s="9">
        <v>133.07</v>
      </c>
      <c r="H6" s="10">
        <v>902.07</v>
      </c>
      <c r="I6" s="9">
        <f>11.11+74.24</f>
        <v>85.35</v>
      </c>
      <c r="J6" s="9">
        <f t="shared" ref="J6:J16" si="2">SUM(G6:I6)</f>
        <v>1120.49</v>
      </c>
      <c r="K6" s="9">
        <f t="shared" ref="K6:K16" si="3">+J6*12</f>
        <v>13445.880000000001</v>
      </c>
      <c r="L6" s="11">
        <f t="shared" ref="L6:L18" si="4">+(K6-F6)/F6</f>
        <v>0.72709897190067374</v>
      </c>
      <c r="N6">
        <f>_xlfn.RANK.EQ(E6,$E$6:$E$17)</f>
        <v>1</v>
      </c>
      <c r="O6" s="22">
        <f>F6/$F$18-1</f>
        <v>0.30091805053789678</v>
      </c>
      <c r="P6" s="19">
        <f>_xlfn.RANK.EQ(J6,$J$6:$J$17)</f>
        <v>1</v>
      </c>
      <c r="Q6" s="22">
        <f>K6/$K$18-1</f>
        <v>0.60650253415311961</v>
      </c>
    </row>
    <row r="7" spans="1:17" x14ac:dyDescent="0.25">
      <c r="A7" s="8" t="s">
        <v>10</v>
      </c>
      <c r="B7" s="9">
        <v>308.61</v>
      </c>
      <c r="C7" s="17">
        <v>277.51</v>
      </c>
      <c r="D7" s="9">
        <v>0</v>
      </c>
      <c r="E7" s="9">
        <f t="shared" si="0"/>
        <v>586.12</v>
      </c>
      <c r="F7" s="9">
        <f t="shared" si="1"/>
        <v>7033.4400000000005</v>
      </c>
      <c r="G7" s="9">
        <v>271.06</v>
      </c>
      <c r="H7" s="9">
        <v>323.79000000000002</v>
      </c>
      <c r="I7" s="9">
        <f>-64.15-0.91</f>
        <v>-65.06</v>
      </c>
      <c r="J7" s="9">
        <f t="shared" si="2"/>
        <v>529.79</v>
      </c>
      <c r="K7" s="9">
        <f t="shared" si="3"/>
        <v>6357.48</v>
      </c>
      <c r="L7" s="11">
        <f t="shared" si="4"/>
        <v>-9.61065993311951E-2</v>
      </c>
      <c r="N7" s="19">
        <f t="shared" ref="N7:N17" si="5">_xlfn.RANK.EQ(E7,$E$6:$E$17)</f>
        <v>3</v>
      </c>
      <c r="O7" s="22">
        <f t="shared" ref="O7:O16" si="6">K7/$K$18-1</f>
        <v>-0.2404135890824719</v>
      </c>
      <c r="P7" s="19">
        <f t="shared" ref="P7:P17" si="7">_xlfn.RANK.EQ(J7,$J$6:$J$17)</f>
        <v>11</v>
      </c>
      <c r="Q7" s="22">
        <f t="shared" ref="Q7:Q17" si="8">K7/$K$18-1</f>
        <v>-0.2404135890824719</v>
      </c>
    </row>
    <row r="8" spans="1:17" x14ac:dyDescent="0.25">
      <c r="A8" s="8" t="s">
        <v>11</v>
      </c>
      <c r="B8" s="9">
        <v>145.86000000000001</v>
      </c>
      <c r="C8" s="17">
        <v>423.91</v>
      </c>
      <c r="D8" s="9">
        <v>0</v>
      </c>
      <c r="E8" s="9">
        <f t="shared" si="0"/>
        <v>569.77</v>
      </c>
      <c r="F8" s="9">
        <f t="shared" si="1"/>
        <v>6837.24</v>
      </c>
      <c r="G8" s="9">
        <v>176.49</v>
      </c>
      <c r="H8" s="9">
        <v>565.27</v>
      </c>
      <c r="I8" s="9">
        <v>1.47</v>
      </c>
      <c r="J8" s="9">
        <f t="shared" si="2"/>
        <v>743.23</v>
      </c>
      <c r="K8" s="9">
        <f t="shared" si="3"/>
        <v>8918.76</v>
      </c>
      <c r="L8" s="11">
        <f t="shared" si="4"/>
        <v>0.30443863313266767</v>
      </c>
      <c r="N8" s="19">
        <f t="shared" si="5"/>
        <v>4</v>
      </c>
      <c r="O8" s="22">
        <f t="shared" si="6"/>
        <v>6.5606010279987359E-2</v>
      </c>
      <c r="P8" s="19">
        <f t="shared" si="7"/>
        <v>4</v>
      </c>
      <c r="Q8" s="22">
        <f t="shared" si="8"/>
        <v>6.5606010279987359E-2</v>
      </c>
    </row>
    <row r="9" spans="1:17" x14ac:dyDescent="0.25">
      <c r="A9" s="8" t="s">
        <v>12</v>
      </c>
      <c r="B9" s="9">
        <v>165.09</v>
      </c>
      <c r="C9" s="17">
        <v>428.94</v>
      </c>
      <c r="D9" s="9">
        <v>-29.08</v>
      </c>
      <c r="E9" s="9">
        <f t="shared" si="0"/>
        <v>564.94999999999993</v>
      </c>
      <c r="F9" s="9">
        <f t="shared" si="1"/>
        <v>6779.4</v>
      </c>
      <c r="G9" s="9">
        <v>193.95</v>
      </c>
      <c r="H9" s="9">
        <v>617.52</v>
      </c>
      <c r="I9" s="9">
        <v>-8.65</v>
      </c>
      <c r="J9" s="9">
        <f t="shared" si="2"/>
        <v>802.82</v>
      </c>
      <c r="K9" s="9">
        <f t="shared" si="3"/>
        <v>9633.84</v>
      </c>
      <c r="L9" s="11">
        <f t="shared" si="4"/>
        <v>0.42104611027524569</v>
      </c>
      <c r="N9" s="19">
        <f t="shared" si="5"/>
        <v>5</v>
      </c>
      <c r="O9" s="22">
        <f t="shared" si="6"/>
        <v>0.15104317260199318</v>
      </c>
      <c r="P9" s="19">
        <f t="shared" si="7"/>
        <v>2</v>
      </c>
      <c r="Q9" s="22">
        <f t="shared" si="8"/>
        <v>0.15104317260199318</v>
      </c>
    </row>
    <row r="10" spans="1:17" x14ac:dyDescent="0.25">
      <c r="A10" s="8" t="s">
        <v>13</v>
      </c>
      <c r="B10" s="9">
        <v>102.31</v>
      </c>
      <c r="C10" s="17">
        <v>336.29</v>
      </c>
      <c r="D10" s="9">
        <v>-47.81</v>
      </c>
      <c r="E10" s="9">
        <f t="shared" si="0"/>
        <v>390.79</v>
      </c>
      <c r="F10" s="9">
        <f t="shared" si="1"/>
        <v>4689.4800000000005</v>
      </c>
      <c r="G10" s="9">
        <v>150.16999999999999</v>
      </c>
      <c r="H10" s="9">
        <v>418.04</v>
      </c>
      <c r="I10" s="9">
        <v>72.12</v>
      </c>
      <c r="J10" s="9">
        <f>SUM(G10:I10)</f>
        <v>640.33000000000004</v>
      </c>
      <c r="K10" s="9">
        <f t="shared" si="3"/>
        <v>7683.9600000000009</v>
      </c>
      <c r="L10" s="11">
        <f t="shared" si="4"/>
        <v>0.63855267534993221</v>
      </c>
      <c r="N10" s="19">
        <f t="shared" si="5"/>
        <v>10</v>
      </c>
      <c r="O10" s="22">
        <f t="shared" si="6"/>
        <v>-8.19268644126524E-2</v>
      </c>
      <c r="P10" s="19">
        <f t="shared" si="7"/>
        <v>9</v>
      </c>
      <c r="Q10" s="22">
        <f t="shared" si="8"/>
        <v>-8.19268644126524E-2</v>
      </c>
    </row>
    <row r="11" spans="1:17" x14ac:dyDescent="0.25">
      <c r="A11" s="12" t="s">
        <v>14</v>
      </c>
      <c r="B11" s="9">
        <v>200.63</v>
      </c>
      <c r="C11" s="17">
        <v>255.33</v>
      </c>
      <c r="D11" s="9">
        <v>-60.76</v>
      </c>
      <c r="E11" s="9">
        <f t="shared" si="0"/>
        <v>395.20000000000005</v>
      </c>
      <c r="F11" s="9">
        <f t="shared" si="1"/>
        <v>4742.4000000000005</v>
      </c>
      <c r="G11" s="9">
        <v>237.07</v>
      </c>
      <c r="H11" s="9">
        <v>532.04999999999995</v>
      </c>
      <c r="I11" s="9">
        <v>0</v>
      </c>
      <c r="J11" s="9">
        <f t="shared" si="2"/>
        <v>769.11999999999989</v>
      </c>
      <c r="K11" s="9">
        <f t="shared" si="3"/>
        <v>9229.4399999999987</v>
      </c>
      <c r="L11" s="11">
        <f t="shared" si="4"/>
        <v>0.94615384615384568</v>
      </c>
      <c r="N11" s="19">
        <f t="shared" si="5"/>
        <v>9</v>
      </c>
      <c r="O11" s="22">
        <f t="shared" si="6"/>
        <v>0.10272579770265411</v>
      </c>
      <c r="P11" s="19">
        <f t="shared" si="7"/>
        <v>3</v>
      </c>
      <c r="Q11" s="22">
        <f t="shared" si="8"/>
        <v>0.10272579770265411</v>
      </c>
    </row>
    <row r="12" spans="1:17" x14ac:dyDescent="0.25">
      <c r="A12" s="15" t="s">
        <v>15</v>
      </c>
      <c r="B12" s="16">
        <v>135.41</v>
      </c>
      <c r="C12" s="18">
        <f>4.7364*100</f>
        <v>473.64</v>
      </c>
      <c r="D12" s="9">
        <v>-2.5499999999999998</v>
      </c>
      <c r="E12" s="9">
        <f t="shared" si="0"/>
        <v>606.5</v>
      </c>
      <c r="F12" s="9">
        <f t="shared" si="1"/>
        <v>7278</v>
      </c>
      <c r="G12" s="9">
        <v>78.099999999999994</v>
      </c>
      <c r="H12" s="9">
        <v>422.96</v>
      </c>
      <c r="I12" s="9">
        <f>128.24+20.19</f>
        <v>148.43</v>
      </c>
      <c r="J12" s="9">
        <f>SUM(G12:I12)</f>
        <v>649.49</v>
      </c>
      <c r="K12" s="9">
        <f t="shared" si="3"/>
        <v>7793.88</v>
      </c>
      <c r="L12" s="11">
        <f t="shared" si="4"/>
        <v>7.0882110469909332E-2</v>
      </c>
      <c r="M12" t="s">
        <v>35</v>
      </c>
      <c r="N12" s="19">
        <f t="shared" si="5"/>
        <v>2</v>
      </c>
      <c r="O12" s="22">
        <f t="shared" si="6"/>
        <v>-6.8793714440013254E-2</v>
      </c>
      <c r="P12" s="19">
        <f t="shared" si="7"/>
        <v>8</v>
      </c>
      <c r="Q12" s="22">
        <f t="shared" si="8"/>
        <v>-6.8793714440013254E-2</v>
      </c>
    </row>
    <row r="13" spans="1:17" x14ac:dyDescent="0.25">
      <c r="A13" s="8" t="s">
        <v>34</v>
      </c>
      <c r="B13" s="9">
        <v>119.81</v>
      </c>
      <c r="C13" s="17">
        <v>468.53</v>
      </c>
      <c r="D13" s="9">
        <f>11.38+6.82+7.5-52.27</f>
        <v>-26.57</v>
      </c>
      <c r="E13" s="9">
        <f t="shared" si="0"/>
        <v>561.76999999999987</v>
      </c>
      <c r="F13" s="9">
        <f t="shared" si="1"/>
        <v>6741.239999999998</v>
      </c>
      <c r="G13" s="9">
        <v>148.38</v>
      </c>
      <c r="H13" s="9">
        <v>580.16</v>
      </c>
      <c r="I13" s="9">
        <v>8.7899999999999991</v>
      </c>
      <c r="J13" s="9">
        <f t="shared" si="2"/>
        <v>737.32999999999993</v>
      </c>
      <c r="K13" s="9">
        <f t="shared" si="3"/>
        <v>8847.9599999999991</v>
      </c>
      <c r="L13" s="11">
        <f t="shared" si="4"/>
        <v>0.31251223810456263</v>
      </c>
      <c r="N13" s="19">
        <f t="shared" si="5"/>
        <v>6</v>
      </c>
      <c r="O13" s="22">
        <f t="shared" si="6"/>
        <v>5.714688529761025E-2</v>
      </c>
      <c r="P13" s="19">
        <f t="shared" si="7"/>
        <v>5</v>
      </c>
      <c r="Q13" s="22">
        <f t="shared" si="8"/>
        <v>5.714688529761025E-2</v>
      </c>
    </row>
    <row r="14" spans="1:17" x14ac:dyDescent="0.25">
      <c r="A14" s="8" t="s">
        <v>16</v>
      </c>
      <c r="B14" s="9">
        <v>224.32</v>
      </c>
      <c r="C14" s="17">
        <v>213.06</v>
      </c>
      <c r="D14" s="9">
        <v>-89.66</v>
      </c>
      <c r="E14" s="9">
        <f t="shared" si="0"/>
        <v>347.72</v>
      </c>
      <c r="F14" s="9">
        <f t="shared" si="1"/>
        <v>4172.6400000000003</v>
      </c>
      <c r="G14" s="9">
        <v>262.17</v>
      </c>
      <c r="H14" s="9">
        <v>253.99</v>
      </c>
      <c r="I14" s="9">
        <f>9.12+6.04+15.59-126.01</f>
        <v>-95.26</v>
      </c>
      <c r="J14" s="9">
        <f t="shared" si="2"/>
        <v>420.90000000000009</v>
      </c>
      <c r="K14" s="9">
        <f t="shared" si="3"/>
        <v>5050.8000000000011</v>
      </c>
      <c r="L14" s="11">
        <f t="shared" si="4"/>
        <v>0.2104566892902337</v>
      </c>
      <c r="N14" s="19">
        <f t="shared" si="5"/>
        <v>12</v>
      </c>
      <c r="O14" s="22">
        <f t="shared" si="6"/>
        <v>-0.39653462625721947</v>
      </c>
      <c r="P14" s="19">
        <f t="shared" si="7"/>
        <v>12</v>
      </c>
      <c r="Q14" s="22">
        <f t="shared" si="8"/>
        <v>-0.39653462625721947</v>
      </c>
    </row>
    <row r="15" spans="1:17" x14ac:dyDescent="0.25">
      <c r="A15" s="8" t="s">
        <v>17</v>
      </c>
      <c r="B15" s="9">
        <v>77.98</v>
      </c>
      <c r="C15" s="17">
        <v>259.83999999999997</v>
      </c>
      <c r="D15" s="9">
        <v>21.98</v>
      </c>
      <c r="E15" s="9">
        <f t="shared" si="0"/>
        <v>359.8</v>
      </c>
      <c r="F15" s="9">
        <f t="shared" si="1"/>
        <v>4317.6000000000004</v>
      </c>
      <c r="G15" s="9">
        <v>94.17</v>
      </c>
      <c r="H15" s="9">
        <v>412.72</v>
      </c>
      <c r="I15" s="9">
        <v>55.54</v>
      </c>
      <c r="J15" s="9">
        <f t="shared" si="2"/>
        <v>562.43000000000006</v>
      </c>
      <c r="K15" s="9">
        <f t="shared" si="3"/>
        <v>6749.1600000000008</v>
      </c>
      <c r="L15" s="11">
        <f t="shared" si="4"/>
        <v>0.5631739855475264</v>
      </c>
      <c r="N15" s="19">
        <f t="shared" si="5"/>
        <v>11</v>
      </c>
      <c r="O15" s="22">
        <f t="shared" si="6"/>
        <v>-0.19361598917996681</v>
      </c>
      <c r="P15" s="19">
        <f t="shared" si="7"/>
        <v>10</v>
      </c>
      <c r="Q15" s="22">
        <f t="shared" si="8"/>
        <v>-0.19361598917996681</v>
      </c>
    </row>
    <row r="16" spans="1:17" x14ac:dyDescent="0.25">
      <c r="A16" s="8" t="s">
        <v>18</v>
      </c>
      <c r="B16" s="9">
        <v>115.32</v>
      </c>
      <c r="C16" s="17">
        <f>3.2288*100</f>
        <v>322.88</v>
      </c>
      <c r="D16" s="9">
        <f>11.31+3.4-2.36</f>
        <v>12.350000000000001</v>
      </c>
      <c r="E16" s="9">
        <f t="shared" si="0"/>
        <v>450.55</v>
      </c>
      <c r="F16" s="9">
        <f t="shared" si="1"/>
        <v>5406.6</v>
      </c>
      <c r="G16" s="9">
        <v>122.36</v>
      </c>
      <c r="H16" s="9">
        <v>405.26</v>
      </c>
      <c r="I16" s="9">
        <f>112.2+52.54</f>
        <v>164.74</v>
      </c>
      <c r="J16" s="9">
        <f t="shared" si="2"/>
        <v>692.36</v>
      </c>
      <c r="K16" s="9">
        <f t="shared" si="3"/>
        <v>8308.32</v>
      </c>
      <c r="L16" s="11">
        <f t="shared" si="4"/>
        <v>0.53669958939074447</v>
      </c>
      <c r="N16" s="19">
        <f t="shared" si="5"/>
        <v>8</v>
      </c>
      <c r="O16" s="22">
        <f t="shared" si="6"/>
        <v>-7.3288520680651059E-3</v>
      </c>
      <c r="P16" s="19">
        <f t="shared" si="7"/>
        <v>7</v>
      </c>
      <c r="Q16" s="22">
        <f t="shared" si="8"/>
        <v>-7.3288520680651059E-3</v>
      </c>
    </row>
    <row r="17" spans="1:17" x14ac:dyDescent="0.25">
      <c r="A17" s="15" t="s">
        <v>19</v>
      </c>
      <c r="B17" s="9">
        <v>52.2</v>
      </c>
      <c r="C17" s="1">
        <v>447.4</v>
      </c>
      <c r="D17" s="9">
        <v>2.88</v>
      </c>
      <c r="E17" s="9">
        <f>SUM(B17:D17)</f>
        <v>502.47999999999996</v>
      </c>
      <c r="F17" s="9">
        <f>+E17*12</f>
        <v>6029.7599999999993</v>
      </c>
      <c r="G17" s="9">
        <v>69.459999999999994</v>
      </c>
      <c r="H17" s="9">
        <v>594.55999999999995</v>
      </c>
      <c r="I17" s="9">
        <v>37.35</v>
      </c>
      <c r="J17" s="9">
        <f>SUM(G17:I17)</f>
        <v>701.37</v>
      </c>
      <c r="K17" s="9">
        <f>+J17*12</f>
        <v>8416.44</v>
      </c>
      <c r="L17" s="11">
        <f>+(K17-F17)/F17</f>
        <v>0.39581674892533059</v>
      </c>
      <c r="N17" s="19">
        <f t="shared" si="5"/>
        <v>7</v>
      </c>
      <c r="O17" s="22">
        <f>K17/$K$18-1</f>
        <v>5.5892354050222082E-3</v>
      </c>
      <c r="P17" s="19">
        <f t="shared" si="7"/>
        <v>6</v>
      </c>
      <c r="Q17" s="22">
        <f t="shared" si="8"/>
        <v>5.5892354050222082E-3</v>
      </c>
    </row>
    <row r="18" spans="1:17" x14ac:dyDescent="0.25">
      <c r="A18" s="6" t="s">
        <v>20</v>
      </c>
      <c r="B18" s="13"/>
      <c r="C18" s="13"/>
      <c r="D18" s="13"/>
      <c r="E18" s="13"/>
      <c r="F18" s="13">
        <f>AVERAGE(F6:F17)</f>
        <v>5984.4199999999992</v>
      </c>
      <c r="G18" s="13"/>
      <c r="H18" s="13"/>
      <c r="I18" s="13"/>
      <c r="J18" s="13"/>
      <c r="K18" s="13">
        <f>AVERAGE(K6:K17)</f>
        <v>8369.6600000000017</v>
      </c>
      <c r="L18" s="14">
        <f t="shared" si="4"/>
        <v>0.39857496632923539</v>
      </c>
      <c r="N18" s="19"/>
    </row>
    <row r="20" spans="1:17" ht="18.75" x14ac:dyDescent="0.4">
      <c r="A20" s="2" t="s">
        <v>21</v>
      </c>
    </row>
    <row r="21" spans="1:17" s="4" customFormat="1" x14ac:dyDescent="0.25">
      <c r="A21" s="5" t="s">
        <v>3</v>
      </c>
      <c r="B21" s="6" t="s">
        <v>4</v>
      </c>
      <c r="C21" s="6" t="s">
        <v>5</v>
      </c>
      <c r="D21" s="6" t="s">
        <v>6</v>
      </c>
      <c r="E21" s="6" t="s">
        <v>7</v>
      </c>
      <c r="F21" s="6">
        <v>2015</v>
      </c>
      <c r="G21" s="6" t="s">
        <v>4</v>
      </c>
      <c r="H21" s="6" t="s">
        <v>5</v>
      </c>
      <c r="I21" s="6" t="s">
        <v>6</v>
      </c>
      <c r="J21" s="6" t="s">
        <v>7</v>
      </c>
      <c r="K21" s="6">
        <v>2025</v>
      </c>
      <c r="L21" s="7" t="s">
        <v>8</v>
      </c>
      <c r="N21" s="21" t="s">
        <v>38</v>
      </c>
      <c r="O21" s="21" t="s">
        <v>40</v>
      </c>
      <c r="P21" s="21" t="s">
        <v>39</v>
      </c>
      <c r="Q21" s="21" t="s">
        <v>40</v>
      </c>
    </row>
    <row r="22" spans="1:17" x14ac:dyDescent="0.25">
      <c r="A22" s="8" t="s">
        <v>22</v>
      </c>
      <c r="B22" s="9">
        <v>173.25</v>
      </c>
      <c r="C22" s="17">
        <v>261.38</v>
      </c>
      <c r="D22" s="9">
        <f>19.63+3.61</f>
        <v>23.24</v>
      </c>
      <c r="E22" s="9">
        <f t="shared" ref="E22:E35" si="9">SUM(B22:D22)</f>
        <v>457.87</v>
      </c>
      <c r="F22" s="9">
        <f t="shared" ref="F22:F35" si="10">+E22*12</f>
        <v>5494.4400000000005</v>
      </c>
      <c r="G22" s="9">
        <v>214.85</v>
      </c>
      <c r="H22" s="9">
        <v>324.12</v>
      </c>
      <c r="I22" s="9">
        <v>38.36</v>
      </c>
      <c r="J22" s="9">
        <f t="shared" ref="J22:J35" si="11">SUM(G22:I22)</f>
        <v>577.33000000000004</v>
      </c>
      <c r="K22" s="9">
        <f t="shared" ref="K22:K35" si="12">+J22*12</f>
        <v>6927.9600000000009</v>
      </c>
      <c r="L22" s="11">
        <f t="shared" ref="L22:L35" si="13">+(K22-F22)/F22</f>
        <v>0.26090374997269972</v>
      </c>
      <c r="N22" s="19">
        <f>_xlfn.RANK.EQ(E22,$E$22:$E$36)</f>
        <v>9</v>
      </c>
      <c r="O22" s="22">
        <f>K22/$K$37-1</f>
        <v>-9.3027055389555358E-2</v>
      </c>
      <c r="P22" s="19">
        <f>_xlfn.RANK.EQ(J22,$J$22:$J$36)</f>
        <v>11</v>
      </c>
      <c r="Q22" s="22">
        <f>K22/$K$37-1</f>
        <v>-9.3027055389555358E-2</v>
      </c>
    </row>
    <row r="23" spans="1:17" x14ac:dyDescent="0.25">
      <c r="A23" s="8" t="s">
        <v>23</v>
      </c>
      <c r="B23" s="9">
        <v>82.1</v>
      </c>
      <c r="C23" s="17">
        <v>142.09</v>
      </c>
      <c r="D23" s="9">
        <f>1.37-88.83</f>
        <v>-87.46</v>
      </c>
      <c r="E23" s="9">
        <f t="shared" si="9"/>
        <v>136.73000000000002</v>
      </c>
      <c r="F23" s="9">
        <f t="shared" si="10"/>
        <v>1640.7600000000002</v>
      </c>
      <c r="G23" s="9">
        <v>96.43</v>
      </c>
      <c r="H23" s="9">
        <v>204.33</v>
      </c>
      <c r="I23" s="9">
        <v>52.73</v>
      </c>
      <c r="J23" s="9">
        <f t="shared" si="11"/>
        <v>353.49</v>
      </c>
      <c r="K23" s="9">
        <f t="shared" si="12"/>
        <v>4241.88</v>
      </c>
      <c r="L23" s="11">
        <f t="shared" si="13"/>
        <v>1.5853141227236156</v>
      </c>
      <c r="N23" s="19">
        <f t="shared" ref="N23:N36" si="14">_xlfn.RANK.EQ(E23,$E$22:$E$36)</f>
        <v>15</v>
      </c>
      <c r="O23" s="22">
        <f t="shared" ref="O23:O36" si="15">K23/$K$37-1</f>
        <v>-0.44467485460595146</v>
      </c>
      <c r="P23" s="19">
        <f t="shared" ref="P23:P36" si="16">_xlfn.RANK.EQ(J23,$J$22:$J$36)</f>
        <v>15</v>
      </c>
      <c r="Q23" s="22">
        <f t="shared" ref="Q23:Q36" si="17">K23/$K$37-1</f>
        <v>-0.44467485460595146</v>
      </c>
    </row>
    <row r="24" spans="1:17" x14ac:dyDescent="0.25">
      <c r="A24" s="8" t="s">
        <v>24</v>
      </c>
      <c r="B24" s="9">
        <v>290.85000000000002</v>
      </c>
      <c r="C24" s="17">
        <v>195.38</v>
      </c>
      <c r="D24" s="9">
        <v>85.02</v>
      </c>
      <c r="E24" s="9">
        <f t="shared" si="9"/>
        <v>571.25</v>
      </c>
      <c r="F24" s="9">
        <f t="shared" si="10"/>
        <v>6855</v>
      </c>
      <c r="G24" s="9">
        <v>345.04</v>
      </c>
      <c r="H24" s="9">
        <v>341.48</v>
      </c>
      <c r="I24" s="9">
        <f>11.04-26.12</f>
        <v>-15.080000000000002</v>
      </c>
      <c r="J24" s="9">
        <f t="shared" si="11"/>
        <v>671.43999999999994</v>
      </c>
      <c r="K24" s="9">
        <f t="shared" si="12"/>
        <v>8057.2799999999988</v>
      </c>
      <c r="L24" s="11">
        <f t="shared" si="13"/>
        <v>0.17538730853391668</v>
      </c>
      <c r="N24" s="19">
        <f t="shared" si="14"/>
        <v>4</v>
      </c>
      <c r="O24" s="22">
        <f t="shared" si="15"/>
        <v>5.4817719379274932E-2</v>
      </c>
      <c r="P24" s="19">
        <f t="shared" si="16"/>
        <v>6</v>
      </c>
      <c r="Q24" s="22">
        <f t="shared" si="17"/>
        <v>5.4817719379274932E-2</v>
      </c>
    </row>
    <row r="25" spans="1:17" x14ac:dyDescent="0.25">
      <c r="A25" s="8" t="s">
        <v>10</v>
      </c>
      <c r="B25" s="9">
        <v>308.61</v>
      </c>
      <c r="C25" s="17">
        <v>277.51</v>
      </c>
      <c r="D25" s="9">
        <v>0</v>
      </c>
      <c r="E25" s="9">
        <f t="shared" si="9"/>
        <v>586.12</v>
      </c>
      <c r="F25" s="9">
        <f t="shared" si="10"/>
        <v>7033.4400000000005</v>
      </c>
      <c r="G25" s="9">
        <v>271.06</v>
      </c>
      <c r="H25" s="9">
        <v>323.79000000000002</v>
      </c>
      <c r="I25" s="9">
        <f>-64.15-0.91</f>
        <v>-65.06</v>
      </c>
      <c r="J25" s="9">
        <f t="shared" si="11"/>
        <v>529.79</v>
      </c>
      <c r="K25" s="9">
        <f t="shared" si="12"/>
        <v>6357.48</v>
      </c>
      <c r="L25" s="11">
        <f t="shared" si="13"/>
        <v>-9.61065993311951E-2</v>
      </c>
      <c r="N25" s="19">
        <f t="shared" si="14"/>
        <v>3</v>
      </c>
      <c r="O25" s="22">
        <f t="shared" si="15"/>
        <v>-0.16771136728531799</v>
      </c>
      <c r="P25" s="19">
        <f t="shared" si="16"/>
        <v>12</v>
      </c>
      <c r="Q25" s="22">
        <f t="shared" si="17"/>
        <v>-0.16771136728531799</v>
      </c>
    </row>
    <row r="26" spans="1:17" x14ac:dyDescent="0.25">
      <c r="A26" s="8" t="s">
        <v>25</v>
      </c>
      <c r="B26" s="9">
        <v>164.55</v>
      </c>
      <c r="C26" s="17">
        <v>358.83</v>
      </c>
      <c r="D26" s="9">
        <v>121.14</v>
      </c>
      <c r="E26" s="9">
        <f t="shared" si="9"/>
        <v>644.52</v>
      </c>
      <c r="F26" s="9">
        <f t="shared" si="10"/>
        <v>7734.24</v>
      </c>
      <c r="G26" s="9">
        <v>198.93</v>
      </c>
      <c r="H26" s="9">
        <v>495.22</v>
      </c>
      <c r="I26" s="9">
        <f>78.46-35.28</f>
        <v>43.179999999999993</v>
      </c>
      <c r="J26" s="9">
        <f t="shared" si="11"/>
        <v>737.33</v>
      </c>
      <c r="K26" s="9">
        <f t="shared" si="12"/>
        <v>8847.9600000000009</v>
      </c>
      <c r="L26" s="11">
        <f t="shared" si="13"/>
        <v>0.14399863464283513</v>
      </c>
      <c r="N26" s="19">
        <f t="shared" si="14"/>
        <v>1</v>
      </c>
      <c r="O26" s="22">
        <f t="shared" si="15"/>
        <v>0.15832948443631745</v>
      </c>
      <c r="P26" s="19">
        <f t="shared" si="16"/>
        <v>3</v>
      </c>
      <c r="Q26" s="22">
        <f t="shared" si="17"/>
        <v>0.15832948443631745</v>
      </c>
    </row>
    <row r="27" spans="1:17" x14ac:dyDescent="0.25">
      <c r="A27" s="8" t="s">
        <v>13</v>
      </c>
      <c r="B27" s="9">
        <v>102.31</v>
      </c>
      <c r="C27" s="17">
        <v>336.29</v>
      </c>
      <c r="D27" s="9">
        <v>-47.81</v>
      </c>
      <c r="E27" s="9">
        <f t="shared" si="9"/>
        <v>390.79</v>
      </c>
      <c r="F27" s="9">
        <f t="shared" si="10"/>
        <v>4689.4800000000005</v>
      </c>
      <c r="G27" s="9">
        <v>150.16999999999999</v>
      </c>
      <c r="H27" s="9">
        <v>418.04</v>
      </c>
      <c r="I27" s="9">
        <v>72.12</v>
      </c>
      <c r="J27" s="9">
        <f t="shared" si="11"/>
        <v>640.33000000000004</v>
      </c>
      <c r="K27" s="9">
        <f t="shared" si="12"/>
        <v>7683.9600000000009</v>
      </c>
      <c r="L27" s="11">
        <f t="shared" si="13"/>
        <v>0.63855267534993221</v>
      </c>
      <c r="N27" s="19">
        <f t="shared" si="14"/>
        <v>12</v>
      </c>
      <c r="O27" s="22">
        <f t="shared" si="15"/>
        <v>5.9445821668819843E-3</v>
      </c>
      <c r="P27" s="19">
        <f t="shared" si="16"/>
        <v>8</v>
      </c>
      <c r="Q27" s="22">
        <f t="shared" si="17"/>
        <v>5.9445821668819843E-3</v>
      </c>
    </row>
    <row r="28" spans="1:17" x14ac:dyDescent="0.25">
      <c r="A28" s="8" t="s">
        <v>26</v>
      </c>
      <c r="B28" s="9">
        <v>133.13999999999999</v>
      </c>
      <c r="C28" s="17">
        <v>201.35</v>
      </c>
      <c r="D28" s="9">
        <v>-71.45</v>
      </c>
      <c r="E28" s="9">
        <f t="shared" si="9"/>
        <v>263.04000000000002</v>
      </c>
      <c r="F28" s="9">
        <f t="shared" si="10"/>
        <v>3156.4800000000005</v>
      </c>
      <c r="G28" s="9">
        <v>157.04</v>
      </c>
      <c r="H28" s="9">
        <v>316.12</v>
      </c>
      <c r="I28" s="9">
        <f>45.52+3.34</f>
        <v>48.86</v>
      </c>
      <c r="J28" s="9">
        <f t="shared" si="11"/>
        <v>522.02</v>
      </c>
      <c r="K28" s="9">
        <f t="shared" si="12"/>
        <v>6264.24</v>
      </c>
      <c r="L28" s="11">
        <f t="shared" si="13"/>
        <v>0.98456508515815044</v>
      </c>
      <c r="N28" s="19">
        <f t="shared" si="14"/>
        <v>14</v>
      </c>
      <c r="O28" s="22">
        <f t="shared" si="15"/>
        <v>-0.17991786925061193</v>
      </c>
      <c r="P28" s="19">
        <f t="shared" si="16"/>
        <v>13</v>
      </c>
      <c r="Q28" s="22">
        <f t="shared" si="17"/>
        <v>-0.17991786925061193</v>
      </c>
    </row>
    <row r="29" spans="1:17" x14ac:dyDescent="0.25">
      <c r="A29" s="8" t="s">
        <v>27</v>
      </c>
      <c r="B29" s="9">
        <v>269.88</v>
      </c>
      <c r="C29" s="17">
        <v>212.98</v>
      </c>
      <c r="D29" s="9">
        <f>34.83+6.19</f>
        <v>41.019999999999996</v>
      </c>
      <c r="E29" s="9">
        <f t="shared" si="9"/>
        <v>523.88</v>
      </c>
      <c r="F29" s="9">
        <f t="shared" si="10"/>
        <v>6286.5599999999995</v>
      </c>
      <c r="G29" s="9">
        <v>322.05</v>
      </c>
      <c r="H29" s="9">
        <v>304.93</v>
      </c>
      <c r="I29" s="9">
        <v>-25.57</v>
      </c>
      <c r="J29" s="9">
        <f t="shared" si="11"/>
        <v>601.41</v>
      </c>
      <c r="K29" s="9">
        <f t="shared" si="12"/>
        <v>7216.92</v>
      </c>
      <c r="L29" s="11">
        <f t="shared" si="13"/>
        <v>0.14799190654348335</v>
      </c>
      <c r="N29" s="19">
        <f t="shared" si="14"/>
        <v>5</v>
      </c>
      <c r="O29" s="22">
        <f t="shared" si="15"/>
        <v>-5.5197896145761649E-2</v>
      </c>
      <c r="P29" s="19">
        <f t="shared" si="16"/>
        <v>9</v>
      </c>
      <c r="Q29" s="22">
        <f t="shared" si="17"/>
        <v>-5.5197896145761649E-2</v>
      </c>
    </row>
    <row r="30" spans="1:17" x14ac:dyDescent="0.25">
      <c r="A30" s="8" t="s">
        <v>28</v>
      </c>
      <c r="B30" s="9">
        <v>58.8</v>
      </c>
      <c r="C30" s="17">
        <v>289.49</v>
      </c>
      <c r="D30" s="9">
        <f>35.95+9.32-54.88-57.63+25.06</f>
        <v>-42.180000000000007</v>
      </c>
      <c r="E30" s="9">
        <f t="shared" si="9"/>
        <v>306.11</v>
      </c>
      <c r="F30" s="9">
        <f t="shared" si="10"/>
        <v>3673.32</v>
      </c>
      <c r="G30" s="9">
        <v>78.66</v>
      </c>
      <c r="H30" s="9">
        <v>385.37</v>
      </c>
      <c r="I30" s="9">
        <f>34.83+1.16+0.24</f>
        <v>36.229999999999997</v>
      </c>
      <c r="J30" s="9">
        <f t="shared" si="11"/>
        <v>500.26</v>
      </c>
      <c r="K30" s="9">
        <f t="shared" si="12"/>
        <v>6003.12</v>
      </c>
      <c r="L30" s="11">
        <f t="shared" si="13"/>
        <v>0.63424912613112927</v>
      </c>
      <c r="N30" s="19">
        <f t="shared" si="14"/>
        <v>13</v>
      </c>
      <c r="O30" s="22">
        <f t="shared" si="15"/>
        <v>-0.21410235866693061</v>
      </c>
      <c r="P30" s="19">
        <f t="shared" si="16"/>
        <v>14</v>
      </c>
      <c r="Q30" s="22">
        <f t="shared" si="17"/>
        <v>-0.21410235866693061</v>
      </c>
    </row>
    <row r="31" spans="1:17" x14ac:dyDescent="0.25">
      <c r="A31" s="8" t="s">
        <v>29</v>
      </c>
      <c r="B31" s="9">
        <v>96.9</v>
      </c>
      <c r="C31" s="17">
        <v>316.89</v>
      </c>
      <c r="D31" s="9">
        <v>0</v>
      </c>
      <c r="E31" s="9">
        <f t="shared" si="9"/>
        <v>413.78999999999996</v>
      </c>
      <c r="F31" s="9">
        <f t="shared" si="10"/>
        <v>4965.4799999999996</v>
      </c>
      <c r="G31" s="9">
        <v>119.31</v>
      </c>
      <c r="H31" s="9">
        <v>469.13</v>
      </c>
      <c r="I31" s="9">
        <f>91.12+79.61+155.35+24.02+4.81</f>
        <v>354.91</v>
      </c>
      <c r="J31" s="9">
        <f t="shared" si="11"/>
        <v>943.35000000000014</v>
      </c>
      <c r="K31" s="9">
        <f t="shared" si="12"/>
        <v>11320.2</v>
      </c>
      <c r="L31" s="11">
        <f t="shared" si="13"/>
        <v>1.279779598346988</v>
      </c>
      <c r="N31" s="19">
        <f t="shared" si="14"/>
        <v>11</v>
      </c>
      <c r="O31" s="22">
        <f t="shared" si="15"/>
        <v>0.48198244902960674</v>
      </c>
      <c r="P31" s="19">
        <f t="shared" si="16"/>
        <v>1</v>
      </c>
      <c r="Q31" s="22">
        <f t="shared" si="17"/>
        <v>0.48198244902960674</v>
      </c>
    </row>
    <row r="32" spans="1:17" x14ac:dyDescent="0.25">
      <c r="A32" s="15" t="s">
        <v>15</v>
      </c>
      <c r="B32" s="16">
        <v>135.41</v>
      </c>
      <c r="C32" s="18">
        <v>473.64</v>
      </c>
      <c r="D32" s="9">
        <v>-2.5499999999999998</v>
      </c>
      <c r="E32" s="9">
        <f t="shared" si="9"/>
        <v>606.5</v>
      </c>
      <c r="F32" s="9">
        <f t="shared" si="10"/>
        <v>7278</v>
      </c>
      <c r="G32" s="9">
        <v>78.099999999999994</v>
      </c>
      <c r="H32" s="9">
        <v>422.96</v>
      </c>
      <c r="I32" s="9">
        <f>128.24+20.19</f>
        <v>148.43</v>
      </c>
      <c r="J32" s="9">
        <f t="shared" si="11"/>
        <v>649.49</v>
      </c>
      <c r="K32" s="9">
        <f t="shared" si="12"/>
        <v>7793.88</v>
      </c>
      <c r="L32" s="11">
        <f t="shared" si="13"/>
        <v>7.0882110469909332E-2</v>
      </c>
      <c r="M32" t="s">
        <v>35</v>
      </c>
      <c r="N32" s="19">
        <f t="shared" si="14"/>
        <v>2</v>
      </c>
      <c r="O32" s="22">
        <f t="shared" si="15"/>
        <v>2.0334744071913269E-2</v>
      </c>
      <c r="P32" s="19">
        <f t="shared" si="16"/>
        <v>7</v>
      </c>
      <c r="Q32" s="22">
        <f t="shared" si="17"/>
        <v>2.0334744071913269E-2</v>
      </c>
    </row>
    <row r="33" spans="1:17" x14ac:dyDescent="0.25">
      <c r="A33" s="15" t="s">
        <v>30</v>
      </c>
      <c r="B33" s="9">
        <v>280.08999999999997</v>
      </c>
      <c r="C33" s="17">
        <v>200.63</v>
      </c>
      <c r="D33" s="9">
        <v>-0.99</v>
      </c>
      <c r="E33" s="9">
        <f t="shared" si="9"/>
        <v>479.72999999999996</v>
      </c>
      <c r="F33" s="9">
        <f t="shared" si="10"/>
        <v>5756.7599999999993</v>
      </c>
      <c r="G33" s="9">
        <v>133.44999999999999</v>
      </c>
      <c r="H33" s="9">
        <v>407.11</v>
      </c>
      <c r="I33" s="9">
        <v>54.92</v>
      </c>
      <c r="J33" s="9">
        <f t="shared" si="11"/>
        <v>595.4799999999999</v>
      </c>
      <c r="K33" s="9">
        <f t="shared" si="12"/>
        <v>7145.7599999999984</v>
      </c>
      <c r="L33" s="11">
        <f t="shared" si="13"/>
        <v>0.24128155420757497</v>
      </c>
      <c r="N33" s="19">
        <f t="shared" si="14"/>
        <v>8</v>
      </c>
      <c r="O33" s="22">
        <f t="shared" si="15"/>
        <v>-6.4513797903058223E-2</v>
      </c>
      <c r="P33" s="19">
        <f t="shared" si="16"/>
        <v>10</v>
      </c>
      <c r="Q33" s="22">
        <f t="shared" si="17"/>
        <v>-6.4513797903058223E-2</v>
      </c>
    </row>
    <row r="34" spans="1:17" x14ac:dyDescent="0.25">
      <c r="A34" s="15" t="s">
        <v>31</v>
      </c>
      <c r="B34" s="20">
        <v>110.77</v>
      </c>
      <c r="C34" s="20">
        <v>403.18</v>
      </c>
      <c r="D34" s="16">
        <v>0</v>
      </c>
      <c r="E34" s="9">
        <f t="shared" si="9"/>
        <v>513.95000000000005</v>
      </c>
      <c r="F34" s="9">
        <f t="shared" si="10"/>
        <v>6167.4000000000005</v>
      </c>
      <c r="G34" s="9">
        <v>274.87</v>
      </c>
      <c r="H34" s="9">
        <v>391.45</v>
      </c>
      <c r="I34" s="9">
        <v>136.38</v>
      </c>
      <c r="J34" s="9">
        <f t="shared" si="11"/>
        <v>802.69999999999993</v>
      </c>
      <c r="K34" s="9">
        <f t="shared" si="12"/>
        <v>9632.4</v>
      </c>
      <c r="L34" s="11">
        <f t="shared" si="13"/>
        <v>0.56182508026072553</v>
      </c>
      <c r="M34" t="s">
        <v>37</v>
      </c>
      <c r="N34" s="19">
        <f t="shared" si="14"/>
        <v>6</v>
      </c>
      <c r="O34" s="22">
        <f t="shared" si="15"/>
        <v>0.26102434073892544</v>
      </c>
      <c r="P34" s="19">
        <f t="shared" si="16"/>
        <v>2</v>
      </c>
      <c r="Q34" s="22">
        <f t="shared" si="17"/>
        <v>0.26102434073892544</v>
      </c>
    </row>
    <row r="35" spans="1:17" x14ac:dyDescent="0.25">
      <c r="A35" s="15" t="s">
        <v>32</v>
      </c>
      <c r="B35" s="9">
        <v>224.33</v>
      </c>
      <c r="C35" s="17">
        <v>210.79</v>
      </c>
      <c r="D35" s="9">
        <v>1.53</v>
      </c>
      <c r="E35" s="9">
        <f t="shared" si="9"/>
        <v>436.65</v>
      </c>
      <c r="F35" s="9">
        <f t="shared" si="10"/>
        <v>5239.7999999999993</v>
      </c>
      <c r="G35" s="9">
        <v>267.56</v>
      </c>
      <c r="H35" s="9">
        <v>287.66000000000003</v>
      </c>
      <c r="I35" s="9">
        <f>126.91+75.62-35.35</f>
        <v>167.18</v>
      </c>
      <c r="J35" s="9">
        <f t="shared" si="11"/>
        <v>722.40000000000009</v>
      </c>
      <c r="K35" s="9">
        <f t="shared" si="12"/>
        <v>8668.8000000000011</v>
      </c>
      <c r="L35" s="11">
        <f t="shared" si="13"/>
        <v>0.65441429062177991</v>
      </c>
      <c r="N35" s="19">
        <f t="shared" si="14"/>
        <v>10</v>
      </c>
      <c r="O35" s="22">
        <f t="shared" si="15"/>
        <v>0.1348747773138157</v>
      </c>
      <c r="P35" s="19">
        <f t="shared" si="16"/>
        <v>4</v>
      </c>
      <c r="Q35" s="22">
        <f t="shared" si="17"/>
        <v>0.1348747773138157</v>
      </c>
    </row>
    <row r="36" spans="1:17" x14ac:dyDescent="0.25">
      <c r="A36" s="15" t="s">
        <v>19</v>
      </c>
      <c r="B36" s="9">
        <v>52.2</v>
      </c>
      <c r="C36" s="1">
        <v>447.4</v>
      </c>
      <c r="D36" s="9">
        <v>2.88</v>
      </c>
      <c r="E36" s="9">
        <f>SUM(B36:D36)</f>
        <v>502.47999999999996</v>
      </c>
      <c r="F36" s="9">
        <f>+E36*12</f>
        <v>6029.7599999999993</v>
      </c>
      <c r="G36" s="9">
        <v>69.459999999999994</v>
      </c>
      <c r="H36" s="9">
        <v>594.55999999999995</v>
      </c>
      <c r="I36" s="9">
        <v>37.35</v>
      </c>
      <c r="J36" s="9">
        <f>SUM(G36:I36)</f>
        <v>701.37</v>
      </c>
      <c r="K36" s="9">
        <f>+J36*12</f>
        <v>8416.44</v>
      </c>
      <c r="L36" s="11">
        <f>+(K36-F36)/F36</f>
        <v>0.39581674892533059</v>
      </c>
      <c r="N36" s="19">
        <f t="shared" si="14"/>
        <v>7</v>
      </c>
      <c r="O36" s="22">
        <f t="shared" si="15"/>
        <v>0.10183710211045249</v>
      </c>
      <c r="P36" s="19">
        <f t="shared" si="16"/>
        <v>5</v>
      </c>
      <c r="Q36" s="22">
        <f t="shared" si="17"/>
        <v>0.10183710211045249</v>
      </c>
    </row>
    <row r="37" spans="1:17" x14ac:dyDescent="0.25">
      <c r="A37" s="6" t="s">
        <v>20</v>
      </c>
      <c r="B37" s="6"/>
      <c r="C37" s="6"/>
      <c r="D37" s="6"/>
      <c r="E37" s="6"/>
      <c r="F37" s="13">
        <f>AVERAGE(F22:F36)</f>
        <v>5466.7280000000001</v>
      </c>
      <c r="G37" s="6"/>
      <c r="H37" s="6"/>
      <c r="I37" s="6"/>
      <c r="J37" s="6"/>
      <c r="K37" s="13">
        <f>AVERAGE(K22:K36)</f>
        <v>7638.5519999999997</v>
      </c>
      <c r="L37" s="14">
        <f t="shared" ref="L37" si="18">+(K37-F37)/F37</f>
        <v>0.39728042075625486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opLeftCell="A6" workbookViewId="0">
      <selection activeCell="A20" sqref="A20:J36"/>
    </sheetView>
  </sheetViews>
  <sheetFormatPr defaultRowHeight="15" x14ac:dyDescent="0.25"/>
  <cols>
    <col min="1" max="1" width="45.42578125" customWidth="1"/>
    <col min="3" max="3" width="10.85546875" customWidth="1"/>
  </cols>
  <sheetData>
    <row r="1" spans="1:10" ht="22.5" x14ac:dyDescent="0.45">
      <c r="A1" s="3" t="s">
        <v>33</v>
      </c>
    </row>
    <row r="2" spans="1:10" x14ac:dyDescent="0.25">
      <c r="A2" s="4" t="s">
        <v>1</v>
      </c>
    </row>
    <row r="3" spans="1:10" ht="18.75" x14ac:dyDescent="0.4">
      <c r="A3" s="2" t="s">
        <v>2</v>
      </c>
    </row>
    <row r="4" spans="1:10" s="4" customFormat="1" x14ac:dyDescent="0.25">
      <c r="A4" s="5" t="s">
        <v>3</v>
      </c>
      <c r="B4" s="6" t="s">
        <v>4</v>
      </c>
      <c r="C4" s="6" t="s">
        <v>5</v>
      </c>
      <c r="D4" s="6" t="s">
        <v>7</v>
      </c>
      <c r="E4" s="6">
        <v>2015</v>
      </c>
      <c r="F4" s="6" t="s">
        <v>4</v>
      </c>
      <c r="G4" s="6" t="s">
        <v>5</v>
      </c>
      <c r="H4" s="6" t="s">
        <v>7</v>
      </c>
      <c r="I4" s="6">
        <v>2025</v>
      </c>
      <c r="J4" s="7" t="s">
        <v>8</v>
      </c>
    </row>
    <row r="5" spans="1:10" x14ac:dyDescent="0.25">
      <c r="A5" s="8" t="s">
        <v>9</v>
      </c>
      <c r="B5" s="9">
        <v>16.87</v>
      </c>
      <c r="C5" s="9">
        <f>0.0202*2000</f>
        <v>40.4</v>
      </c>
      <c r="D5" s="9">
        <f t="shared" ref="D5:D16" si="0">SUM(B5:C5)</f>
        <v>57.269999999999996</v>
      </c>
      <c r="E5" s="9">
        <f t="shared" ref="E5:E15" si="1">+D5*12</f>
        <v>687.24</v>
      </c>
      <c r="F5" s="9">
        <v>24.09</v>
      </c>
      <c r="G5" s="9">
        <f>0.0344*2000</f>
        <v>68.8</v>
      </c>
      <c r="H5" s="9">
        <f t="shared" ref="H5:H16" si="2">SUM(F5:G5)</f>
        <v>92.89</v>
      </c>
      <c r="I5" s="9">
        <f t="shared" ref="I5:I15" si="3">+H5*12</f>
        <v>1114.68</v>
      </c>
      <c r="J5" s="11">
        <f t="shared" ref="J5:J17" si="4">+(I5-E5)/E5</f>
        <v>0.62196612537104945</v>
      </c>
    </row>
    <row r="6" spans="1:10" x14ac:dyDescent="0.25">
      <c r="A6" s="8" t="s">
        <v>10</v>
      </c>
      <c r="B6" s="9">
        <v>43.82</v>
      </c>
      <c r="C6" s="9">
        <f>0.0089*2000</f>
        <v>17.8</v>
      </c>
      <c r="D6" s="9">
        <f t="shared" si="0"/>
        <v>61.620000000000005</v>
      </c>
      <c r="E6" s="9">
        <f t="shared" si="1"/>
        <v>739.44</v>
      </c>
      <c r="F6" s="8">
        <v>45.47</v>
      </c>
      <c r="G6" s="9">
        <f>0.0135*2000</f>
        <v>27</v>
      </c>
      <c r="H6" s="9">
        <f t="shared" si="2"/>
        <v>72.47</v>
      </c>
      <c r="I6" s="9">
        <f t="shared" si="3"/>
        <v>869.64</v>
      </c>
      <c r="J6" s="11">
        <f t="shared" si="4"/>
        <v>0.17607919506653674</v>
      </c>
    </row>
    <row r="7" spans="1:10" x14ac:dyDescent="0.25">
      <c r="A7" s="8" t="s">
        <v>11</v>
      </c>
      <c r="B7" s="9">
        <v>27.32</v>
      </c>
      <c r="C7" s="9">
        <f>0.0191*2000</f>
        <v>38.199999999999996</v>
      </c>
      <c r="D7" s="9">
        <f t="shared" si="0"/>
        <v>65.52</v>
      </c>
      <c r="E7" s="9">
        <f t="shared" si="1"/>
        <v>786.24</v>
      </c>
      <c r="F7" s="9">
        <v>33.46</v>
      </c>
      <c r="G7" s="9">
        <f>0.0249*2000</f>
        <v>49.8</v>
      </c>
      <c r="H7" s="9">
        <f t="shared" si="2"/>
        <v>83.259999999999991</v>
      </c>
      <c r="I7" s="9">
        <f t="shared" si="3"/>
        <v>999.11999999999989</v>
      </c>
      <c r="J7" s="11">
        <f t="shared" si="4"/>
        <v>0.27075702075702063</v>
      </c>
    </row>
    <row r="8" spans="1:10" x14ac:dyDescent="0.25">
      <c r="A8" s="8" t="s">
        <v>12</v>
      </c>
      <c r="B8" s="9">
        <v>21.64</v>
      </c>
      <c r="C8" s="9">
        <f>0.0187*2000</f>
        <v>37.400000000000006</v>
      </c>
      <c r="D8" s="9">
        <f t="shared" si="0"/>
        <v>59.040000000000006</v>
      </c>
      <c r="E8" s="9">
        <f t="shared" si="1"/>
        <v>708.48</v>
      </c>
      <c r="F8" s="9">
        <v>25.44</v>
      </c>
      <c r="G8" s="9">
        <f>0.0277*2000</f>
        <v>55.4</v>
      </c>
      <c r="H8" s="9">
        <f t="shared" si="2"/>
        <v>80.84</v>
      </c>
      <c r="I8" s="9">
        <f t="shared" si="3"/>
        <v>970.08</v>
      </c>
      <c r="J8" s="11">
        <f t="shared" si="4"/>
        <v>0.36924119241192416</v>
      </c>
    </row>
    <row r="9" spans="1:10" x14ac:dyDescent="0.25">
      <c r="A9" s="8" t="s">
        <v>13</v>
      </c>
      <c r="B9" s="9">
        <v>37.76</v>
      </c>
      <c r="C9" s="9">
        <f>0.0138*2000</f>
        <v>27.599999999999998</v>
      </c>
      <c r="D9" s="9">
        <f t="shared" si="0"/>
        <v>65.36</v>
      </c>
      <c r="E9" s="9">
        <f t="shared" si="1"/>
        <v>784.31999999999994</v>
      </c>
      <c r="F9" s="9">
        <v>48.36</v>
      </c>
      <c r="G9" s="9">
        <f>0.0176*2000</f>
        <v>35.200000000000003</v>
      </c>
      <c r="H9" s="9">
        <f t="shared" si="2"/>
        <v>83.56</v>
      </c>
      <c r="I9" s="9">
        <f t="shared" si="3"/>
        <v>1002.72</v>
      </c>
      <c r="J9" s="11">
        <f t="shared" si="4"/>
        <v>0.27845777233782143</v>
      </c>
    </row>
    <row r="10" spans="1:10" x14ac:dyDescent="0.25">
      <c r="A10" s="12" t="s">
        <v>14</v>
      </c>
      <c r="B10" s="9">
        <v>26.66</v>
      </c>
      <c r="C10" s="9">
        <f>0.0138*2000</f>
        <v>27.599999999999998</v>
      </c>
      <c r="D10" s="9">
        <f t="shared" si="0"/>
        <v>54.26</v>
      </c>
      <c r="E10" s="9">
        <f t="shared" si="1"/>
        <v>651.12</v>
      </c>
      <c r="F10" s="9">
        <v>40.5</v>
      </c>
      <c r="G10" s="9">
        <f>0.0228*2000</f>
        <v>45.6</v>
      </c>
      <c r="H10" s="9">
        <f t="shared" si="2"/>
        <v>86.1</v>
      </c>
      <c r="I10" s="9">
        <f t="shared" si="3"/>
        <v>1033.1999999999998</v>
      </c>
      <c r="J10" s="11">
        <f t="shared" si="4"/>
        <v>0.5868042757095463</v>
      </c>
    </row>
    <row r="11" spans="1:10" x14ac:dyDescent="0.25">
      <c r="A11" s="15" t="s">
        <v>15</v>
      </c>
      <c r="B11" s="10">
        <v>29.86</v>
      </c>
      <c r="C11" s="10">
        <f>0.0195*2000</f>
        <v>39</v>
      </c>
      <c r="D11" s="9">
        <f t="shared" si="0"/>
        <v>68.86</v>
      </c>
      <c r="E11" s="9">
        <f t="shared" si="1"/>
        <v>826.31999999999994</v>
      </c>
      <c r="F11" s="9">
        <v>27.65</v>
      </c>
      <c r="G11" s="9">
        <f>0.0204*2000</f>
        <v>40.800000000000004</v>
      </c>
      <c r="H11" s="9">
        <f t="shared" si="2"/>
        <v>68.45</v>
      </c>
      <c r="I11" s="9">
        <f t="shared" si="3"/>
        <v>821.40000000000009</v>
      </c>
      <c r="J11" s="11">
        <f t="shared" si="4"/>
        <v>-5.9541097879754158E-3</v>
      </c>
    </row>
    <row r="12" spans="1:10" x14ac:dyDescent="0.25">
      <c r="A12" s="8" t="s">
        <v>34</v>
      </c>
      <c r="B12" s="9">
        <v>35.11</v>
      </c>
      <c r="C12" s="9">
        <f>0.0155*2000</f>
        <v>31</v>
      </c>
      <c r="D12" s="9">
        <f t="shared" si="0"/>
        <v>66.11</v>
      </c>
      <c r="E12" s="9">
        <f t="shared" si="1"/>
        <v>793.31999999999994</v>
      </c>
      <c r="F12" s="9">
        <v>43.48</v>
      </c>
      <c r="G12" s="9">
        <f>0.0194*2000</f>
        <v>38.800000000000004</v>
      </c>
      <c r="H12" s="9">
        <f t="shared" si="2"/>
        <v>82.28</v>
      </c>
      <c r="I12" s="9">
        <f t="shared" si="3"/>
        <v>987.36</v>
      </c>
      <c r="J12" s="11">
        <f t="shared" si="4"/>
        <v>0.24459234608985037</v>
      </c>
    </row>
    <row r="13" spans="1:10" x14ac:dyDescent="0.25">
      <c r="A13" s="8" t="s">
        <v>16</v>
      </c>
      <c r="B13" s="9">
        <v>33.869999999999997</v>
      </c>
      <c r="C13" s="9">
        <f>0.0116*2000</f>
        <v>23.2</v>
      </c>
      <c r="D13" s="9">
        <f t="shared" si="0"/>
        <v>57.069999999999993</v>
      </c>
      <c r="E13" s="9">
        <f t="shared" si="1"/>
        <v>684.83999999999992</v>
      </c>
      <c r="F13" s="9">
        <v>42.09</v>
      </c>
      <c r="G13" s="9">
        <f>0.0163*2000</f>
        <v>32.599999999999994</v>
      </c>
      <c r="H13" s="9">
        <f t="shared" si="2"/>
        <v>74.69</v>
      </c>
      <c r="I13" s="9">
        <f t="shared" si="3"/>
        <v>896.28</v>
      </c>
      <c r="J13" s="11">
        <f t="shared" si="4"/>
        <v>0.30874364815139316</v>
      </c>
    </row>
    <row r="14" spans="1:10" x14ac:dyDescent="0.25">
      <c r="A14" s="8" t="s">
        <v>17</v>
      </c>
      <c r="B14" s="9">
        <v>16.420000000000002</v>
      </c>
      <c r="C14" s="9">
        <f>0.0174*2000</f>
        <v>34.799999999999997</v>
      </c>
      <c r="D14" s="9">
        <f t="shared" si="0"/>
        <v>51.22</v>
      </c>
      <c r="E14" s="9">
        <f t="shared" si="1"/>
        <v>614.64</v>
      </c>
      <c r="F14" s="9">
        <v>22.24</v>
      </c>
      <c r="G14" s="9">
        <f>0.0234*2000</f>
        <v>46.800000000000004</v>
      </c>
      <c r="H14" s="9">
        <f t="shared" si="2"/>
        <v>69.040000000000006</v>
      </c>
      <c r="I14" s="9">
        <f t="shared" si="3"/>
        <v>828.48</v>
      </c>
      <c r="J14" s="11">
        <f t="shared" si="4"/>
        <v>0.34791097227645457</v>
      </c>
    </row>
    <row r="15" spans="1:10" x14ac:dyDescent="0.25">
      <c r="A15" s="8" t="s">
        <v>18</v>
      </c>
      <c r="B15" s="9">
        <v>26.36</v>
      </c>
      <c r="C15" s="9">
        <f>0.0086*2000</f>
        <v>17.2</v>
      </c>
      <c r="D15" s="9">
        <f t="shared" si="0"/>
        <v>43.56</v>
      </c>
      <c r="E15" s="9">
        <f t="shared" si="1"/>
        <v>522.72</v>
      </c>
      <c r="F15" s="9">
        <v>29.62</v>
      </c>
      <c r="G15" s="9">
        <f>0.0201*2000</f>
        <v>40.200000000000003</v>
      </c>
      <c r="H15" s="9">
        <f t="shared" si="2"/>
        <v>69.820000000000007</v>
      </c>
      <c r="I15" s="9">
        <f t="shared" si="3"/>
        <v>837.84000000000015</v>
      </c>
      <c r="J15" s="11">
        <f t="shared" si="4"/>
        <v>0.60284664830119394</v>
      </c>
    </row>
    <row r="16" spans="1:10" x14ac:dyDescent="0.25">
      <c r="A16" s="15" t="s">
        <v>19</v>
      </c>
      <c r="B16" s="10">
        <v>16.02</v>
      </c>
      <c r="C16" s="10">
        <f>0.017*2000</f>
        <v>34</v>
      </c>
      <c r="D16" s="9">
        <f t="shared" si="0"/>
        <v>50.019999999999996</v>
      </c>
      <c r="E16" s="9">
        <f>+D16*12</f>
        <v>600.24</v>
      </c>
      <c r="F16" s="9">
        <v>20.68</v>
      </c>
      <c r="G16" s="9">
        <f>0.0211*2000</f>
        <v>42.2</v>
      </c>
      <c r="H16" s="9">
        <f t="shared" si="2"/>
        <v>62.88</v>
      </c>
      <c r="I16" s="9">
        <f>+H16*12</f>
        <v>754.56000000000006</v>
      </c>
      <c r="J16" s="11">
        <f t="shared" si="4"/>
        <v>0.25709716113554587</v>
      </c>
    </row>
    <row r="17" spans="1:10" x14ac:dyDescent="0.25">
      <c r="A17" s="6" t="s">
        <v>20</v>
      </c>
      <c r="B17" s="13"/>
      <c r="C17" s="13"/>
      <c r="D17" s="13"/>
      <c r="E17" s="13">
        <f>AVERAGE(E5:E16)</f>
        <v>699.91</v>
      </c>
      <c r="F17" s="13"/>
      <c r="G17" s="13"/>
      <c r="H17" s="13"/>
      <c r="I17" s="13">
        <f>AVERAGE(I5:I16)</f>
        <v>926.27999999999986</v>
      </c>
      <c r="J17" s="14">
        <f t="shared" si="4"/>
        <v>0.32342729779543072</v>
      </c>
    </row>
    <row r="19" spans="1:10" ht="18.75" x14ac:dyDescent="0.4">
      <c r="A19" s="2" t="s">
        <v>21</v>
      </c>
    </row>
    <row r="20" spans="1:10" s="4" customFormat="1" x14ac:dyDescent="0.25">
      <c r="A20" s="5" t="s">
        <v>3</v>
      </c>
      <c r="B20" s="6" t="s">
        <v>4</v>
      </c>
      <c r="C20" s="6" t="s">
        <v>5</v>
      </c>
      <c r="D20" s="6" t="s">
        <v>7</v>
      </c>
      <c r="E20" s="6">
        <v>2015</v>
      </c>
      <c r="F20" s="6" t="s">
        <v>4</v>
      </c>
      <c r="G20" s="6" t="s">
        <v>5</v>
      </c>
      <c r="H20" s="6" t="s">
        <v>7</v>
      </c>
      <c r="I20" s="6">
        <v>2025</v>
      </c>
      <c r="J20" s="7" t="s">
        <v>8</v>
      </c>
    </row>
    <row r="21" spans="1:10" x14ac:dyDescent="0.25">
      <c r="A21" s="8" t="s">
        <v>22</v>
      </c>
      <c r="B21" s="9">
        <v>43.68</v>
      </c>
      <c r="C21" s="9">
        <f>0.0099*2000</f>
        <v>19.8</v>
      </c>
      <c r="D21" s="9">
        <f t="shared" ref="D21:D35" si="5">SUM(B21:C21)</f>
        <v>63.480000000000004</v>
      </c>
      <c r="E21" s="9">
        <f t="shared" ref="E21:E34" si="6">+D21*12</f>
        <v>761.76</v>
      </c>
      <c r="F21" s="9">
        <v>54.18</v>
      </c>
      <c r="G21" s="9">
        <f>0.0124*2000</f>
        <v>24.8</v>
      </c>
      <c r="H21" s="9">
        <f t="shared" ref="H21:H35" si="7">SUM(F21:G21)</f>
        <v>78.98</v>
      </c>
      <c r="I21" s="9">
        <f t="shared" ref="I21:I34" si="8">+H21*12</f>
        <v>947.76</v>
      </c>
      <c r="J21" s="11">
        <f t="shared" ref="J21:J36" si="9">+(I21-E21)/E21</f>
        <v>0.24417139256458728</v>
      </c>
    </row>
    <row r="22" spans="1:10" x14ac:dyDescent="0.25">
      <c r="A22" s="8" t="s">
        <v>23</v>
      </c>
      <c r="B22" s="9">
        <v>22.12</v>
      </c>
      <c r="C22" s="9">
        <f>0.0096*2000</f>
        <v>19.2</v>
      </c>
      <c r="D22" s="9">
        <f t="shared" si="5"/>
        <v>41.32</v>
      </c>
      <c r="E22" s="9">
        <f t="shared" si="6"/>
        <v>495.84000000000003</v>
      </c>
      <c r="F22" s="9">
        <v>30.34</v>
      </c>
      <c r="G22" s="9">
        <f>0.0132*2000</f>
        <v>26.4</v>
      </c>
      <c r="H22" s="9">
        <f t="shared" si="7"/>
        <v>56.739999999999995</v>
      </c>
      <c r="I22" s="9">
        <f t="shared" si="8"/>
        <v>680.87999999999988</v>
      </c>
      <c r="J22" s="11">
        <f t="shared" si="9"/>
        <v>0.37318489835430751</v>
      </c>
    </row>
    <row r="23" spans="1:10" x14ac:dyDescent="0.25">
      <c r="A23" s="8" t="s">
        <v>24</v>
      </c>
      <c r="B23" s="9">
        <v>30.52</v>
      </c>
      <c r="C23" s="9">
        <f>0.0092*2000</f>
        <v>18.399999999999999</v>
      </c>
      <c r="D23" s="9">
        <f t="shared" si="5"/>
        <v>48.92</v>
      </c>
      <c r="E23" s="9">
        <f t="shared" si="6"/>
        <v>587.04</v>
      </c>
      <c r="F23" s="9">
        <v>36.200000000000003</v>
      </c>
      <c r="G23" s="9">
        <f>0.0182*2000</f>
        <v>36.4</v>
      </c>
      <c r="H23" s="9">
        <f t="shared" si="7"/>
        <v>72.599999999999994</v>
      </c>
      <c r="I23" s="9">
        <f t="shared" si="8"/>
        <v>871.19999999999993</v>
      </c>
      <c r="J23" s="11">
        <f t="shared" si="9"/>
        <v>0.48405560098119377</v>
      </c>
    </row>
    <row r="24" spans="1:10" x14ac:dyDescent="0.25">
      <c r="A24" s="8" t="s">
        <v>10</v>
      </c>
      <c r="B24" s="9">
        <v>43.82</v>
      </c>
      <c r="C24" s="9">
        <f>0.0089*2000</f>
        <v>17.8</v>
      </c>
      <c r="D24" s="9">
        <f t="shared" si="5"/>
        <v>61.620000000000005</v>
      </c>
      <c r="E24" s="9">
        <f t="shared" si="6"/>
        <v>739.44</v>
      </c>
      <c r="F24" s="9">
        <v>45.47</v>
      </c>
      <c r="G24" s="9">
        <f>0.0135*2000</f>
        <v>27</v>
      </c>
      <c r="H24" s="9">
        <f t="shared" si="7"/>
        <v>72.47</v>
      </c>
      <c r="I24" s="9">
        <f t="shared" si="8"/>
        <v>869.64</v>
      </c>
      <c r="J24" s="11">
        <f t="shared" si="9"/>
        <v>0.17607919506653674</v>
      </c>
    </row>
    <row r="25" spans="1:10" x14ac:dyDescent="0.25">
      <c r="A25" s="8" t="s">
        <v>25</v>
      </c>
      <c r="B25" s="9">
        <v>17.829999999999998</v>
      </c>
      <c r="C25" s="9">
        <f>0.0186*2000</f>
        <v>37.199999999999996</v>
      </c>
      <c r="D25" s="9">
        <f t="shared" si="5"/>
        <v>55.029999999999994</v>
      </c>
      <c r="E25" s="9">
        <f t="shared" si="6"/>
        <v>660.3599999999999</v>
      </c>
      <c r="F25" s="9">
        <v>23.5</v>
      </c>
      <c r="G25" s="9">
        <f>0.0245*2000</f>
        <v>49</v>
      </c>
      <c r="H25" s="9">
        <f t="shared" si="7"/>
        <v>72.5</v>
      </c>
      <c r="I25" s="9">
        <f t="shared" si="8"/>
        <v>870</v>
      </c>
      <c r="J25" s="11">
        <f t="shared" si="9"/>
        <v>0.31746320188987842</v>
      </c>
    </row>
    <row r="26" spans="1:10" x14ac:dyDescent="0.25">
      <c r="A26" s="8" t="s">
        <v>13</v>
      </c>
      <c r="B26" s="9">
        <v>37.76</v>
      </c>
      <c r="C26" s="9">
        <f>0.0138*2000</f>
        <v>27.599999999999998</v>
      </c>
      <c r="D26" s="9">
        <f t="shared" si="5"/>
        <v>65.36</v>
      </c>
      <c r="E26" s="9">
        <f t="shared" si="6"/>
        <v>784.31999999999994</v>
      </c>
      <c r="F26" s="9">
        <v>48.36</v>
      </c>
      <c r="G26" s="9">
        <f>0.0176*2000</f>
        <v>35.200000000000003</v>
      </c>
      <c r="H26" s="9">
        <f t="shared" si="7"/>
        <v>83.56</v>
      </c>
      <c r="I26" s="9">
        <f t="shared" si="8"/>
        <v>1002.72</v>
      </c>
      <c r="J26" s="11">
        <f t="shared" si="9"/>
        <v>0.27845777233782143</v>
      </c>
    </row>
    <row r="27" spans="1:10" x14ac:dyDescent="0.25">
      <c r="A27" s="8" t="s">
        <v>26</v>
      </c>
      <c r="B27" s="9">
        <v>25.6</v>
      </c>
      <c r="C27" s="9">
        <f>0.0179*2000</f>
        <v>35.799999999999997</v>
      </c>
      <c r="D27" s="9">
        <f t="shared" si="5"/>
        <v>61.4</v>
      </c>
      <c r="E27" s="9">
        <f t="shared" si="6"/>
        <v>736.8</v>
      </c>
      <c r="F27" s="9">
        <v>30.19</v>
      </c>
      <c r="G27" s="9">
        <f>0.0194*2000</f>
        <v>38.800000000000004</v>
      </c>
      <c r="H27" s="9">
        <f t="shared" si="7"/>
        <v>68.990000000000009</v>
      </c>
      <c r="I27" s="9">
        <f t="shared" si="8"/>
        <v>827.88000000000011</v>
      </c>
      <c r="J27" s="11">
        <f t="shared" si="9"/>
        <v>0.12361563517915332</v>
      </c>
    </row>
    <row r="28" spans="1:10" x14ac:dyDescent="0.25">
      <c r="A28" s="8" t="s">
        <v>27</v>
      </c>
      <c r="B28" s="9">
        <v>37.76</v>
      </c>
      <c r="C28" s="9">
        <f>0.0113*2000</f>
        <v>22.599999999999998</v>
      </c>
      <c r="D28" s="9">
        <f t="shared" si="5"/>
        <v>60.36</v>
      </c>
      <c r="E28" s="9">
        <f t="shared" si="6"/>
        <v>724.31999999999994</v>
      </c>
      <c r="F28" s="9">
        <v>45.06</v>
      </c>
      <c r="G28" s="9">
        <f>0.0156*2000</f>
        <v>31.2</v>
      </c>
      <c r="H28" s="9">
        <f t="shared" si="7"/>
        <v>76.260000000000005</v>
      </c>
      <c r="I28" s="9">
        <f t="shared" si="8"/>
        <v>915.12000000000012</v>
      </c>
      <c r="J28" s="11">
        <f t="shared" si="9"/>
        <v>0.2634194831013919</v>
      </c>
    </row>
    <row r="29" spans="1:10" x14ac:dyDescent="0.25">
      <c r="A29" s="8" t="s">
        <v>28</v>
      </c>
      <c r="B29" s="9">
        <v>25.09</v>
      </c>
      <c r="C29" s="9">
        <f>0.0135*2000</f>
        <v>27</v>
      </c>
      <c r="D29" s="9">
        <f t="shared" si="5"/>
        <v>52.09</v>
      </c>
      <c r="E29" s="9">
        <f t="shared" si="6"/>
        <v>625.08000000000004</v>
      </c>
      <c r="F29" s="9">
        <v>29.29</v>
      </c>
      <c r="G29" s="9">
        <f>0.0193*2000</f>
        <v>38.6</v>
      </c>
      <c r="H29" s="9">
        <f t="shared" si="7"/>
        <v>67.89</v>
      </c>
      <c r="I29" s="9">
        <f t="shared" si="8"/>
        <v>814.68000000000006</v>
      </c>
      <c r="J29" s="11">
        <f t="shared" si="9"/>
        <v>0.30332117488961413</v>
      </c>
    </row>
    <row r="30" spans="1:10" x14ac:dyDescent="0.25">
      <c r="A30" s="8" t="s">
        <v>29</v>
      </c>
      <c r="B30" s="9">
        <v>20.28</v>
      </c>
      <c r="C30" s="9">
        <f>0.0135*2000</f>
        <v>27</v>
      </c>
      <c r="D30" s="9">
        <f t="shared" si="5"/>
        <v>47.28</v>
      </c>
      <c r="E30" s="9">
        <f t="shared" si="6"/>
        <v>567.36</v>
      </c>
      <c r="F30" s="9">
        <v>26.94</v>
      </c>
      <c r="G30" s="9">
        <f>0.0179*2000</f>
        <v>35.799999999999997</v>
      </c>
      <c r="H30" s="9">
        <f t="shared" si="7"/>
        <v>62.739999999999995</v>
      </c>
      <c r="I30" s="9">
        <f t="shared" si="8"/>
        <v>752.87999999999988</v>
      </c>
      <c r="J30" s="11">
        <f t="shared" si="9"/>
        <v>0.32698815566835848</v>
      </c>
    </row>
    <row r="31" spans="1:10" x14ac:dyDescent="0.25">
      <c r="A31" s="15" t="s">
        <v>15</v>
      </c>
      <c r="B31" s="10">
        <v>29.86</v>
      </c>
      <c r="C31" s="10">
        <f>0.0195*2000</f>
        <v>39</v>
      </c>
      <c r="D31" s="9">
        <f t="shared" si="5"/>
        <v>68.86</v>
      </c>
      <c r="E31" s="9">
        <f t="shared" si="6"/>
        <v>826.31999999999994</v>
      </c>
      <c r="F31" s="9">
        <v>27.65</v>
      </c>
      <c r="G31" s="9">
        <f>0.0204*2000</f>
        <v>40.800000000000004</v>
      </c>
      <c r="H31" s="9">
        <f t="shared" si="7"/>
        <v>68.45</v>
      </c>
      <c r="I31" s="9">
        <f t="shared" si="8"/>
        <v>821.40000000000009</v>
      </c>
      <c r="J31" s="11">
        <f t="shared" si="9"/>
        <v>-5.9541097879754158E-3</v>
      </c>
    </row>
    <row r="32" spans="1:10" x14ac:dyDescent="0.25">
      <c r="A32" s="15" t="s">
        <v>30</v>
      </c>
      <c r="B32" s="9">
        <v>25.85</v>
      </c>
      <c r="C32" s="9">
        <f>0.0106*2000</f>
        <v>21.2</v>
      </c>
      <c r="D32" s="9">
        <f t="shared" si="5"/>
        <v>47.05</v>
      </c>
      <c r="E32" s="9">
        <f t="shared" si="6"/>
        <v>564.59999999999991</v>
      </c>
      <c r="F32" s="9">
        <v>17.63</v>
      </c>
      <c r="G32" s="9">
        <f>0.0193*2000</f>
        <v>38.6</v>
      </c>
      <c r="H32" s="9">
        <f t="shared" si="7"/>
        <v>56.230000000000004</v>
      </c>
      <c r="I32" s="9">
        <f t="shared" si="8"/>
        <v>674.76</v>
      </c>
      <c r="J32" s="11">
        <f t="shared" si="9"/>
        <v>0.19511158342189178</v>
      </c>
    </row>
    <row r="33" spans="1:10" x14ac:dyDescent="0.25">
      <c r="A33" s="15" t="s">
        <v>31</v>
      </c>
      <c r="B33" s="9">
        <v>19.579999999999998</v>
      </c>
      <c r="C33" s="9">
        <f>0.0105*2000</f>
        <v>21</v>
      </c>
      <c r="D33" s="9">
        <f t="shared" si="5"/>
        <v>40.58</v>
      </c>
      <c r="E33" s="9">
        <f t="shared" si="6"/>
        <v>486.96</v>
      </c>
      <c r="F33" s="9">
        <v>35.68</v>
      </c>
      <c r="G33" s="9">
        <f>0.0129*2000</f>
        <v>25.8</v>
      </c>
      <c r="H33" s="9">
        <f t="shared" si="7"/>
        <v>61.480000000000004</v>
      </c>
      <c r="I33" s="9">
        <f t="shared" si="8"/>
        <v>737.76</v>
      </c>
      <c r="J33" s="11">
        <f t="shared" si="9"/>
        <v>0.51503203548546084</v>
      </c>
    </row>
    <row r="34" spans="1:10" x14ac:dyDescent="0.25">
      <c r="A34" s="15" t="s">
        <v>32</v>
      </c>
      <c r="B34" s="9">
        <v>24.3</v>
      </c>
      <c r="C34" s="9">
        <f>0.0109*2000</f>
        <v>21.8</v>
      </c>
      <c r="D34" s="9">
        <f t="shared" si="5"/>
        <v>46.1</v>
      </c>
      <c r="E34" s="9">
        <f t="shared" si="6"/>
        <v>553.20000000000005</v>
      </c>
      <c r="F34" s="9">
        <v>31.89</v>
      </c>
      <c r="G34" s="9">
        <f>0.0142*2000</f>
        <v>28.400000000000002</v>
      </c>
      <c r="H34" s="9">
        <f t="shared" si="7"/>
        <v>60.290000000000006</v>
      </c>
      <c r="I34" s="9">
        <f t="shared" si="8"/>
        <v>723.48</v>
      </c>
      <c r="J34" s="11">
        <f t="shared" si="9"/>
        <v>0.30780911062906718</v>
      </c>
    </row>
    <row r="35" spans="1:10" x14ac:dyDescent="0.25">
      <c r="A35" s="15" t="s">
        <v>19</v>
      </c>
      <c r="B35" s="10">
        <v>11.21</v>
      </c>
      <c r="C35" s="10">
        <f>0.017*2000</f>
        <v>34</v>
      </c>
      <c r="D35" s="9">
        <f t="shared" si="5"/>
        <v>45.21</v>
      </c>
      <c r="E35" s="9">
        <f>+D35*12</f>
        <v>542.52</v>
      </c>
      <c r="F35" s="9">
        <v>20.68</v>
      </c>
      <c r="G35" s="9">
        <f>0.0211*2000</f>
        <v>42.2</v>
      </c>
      <c r="H35" s="9">
        <f t="shared" si="7"/>
        <v>62.88</v>
      </c>
      <c r="I35" s="9">
        <f>+H35*12</f>
        <v>754.56000000000006</v>
      </c>
      <c r="J35" s="11">
        <f t="shared" si="9"/>
        <v>0.3908427339084275</v>
      </c>
    </row>
    <row r="36" spans="1:10" x14ac:dyDescent="0.25">
      <c r="A36" s="6" t="s">
        <v>20</v>
      </c>
      <c r="B36" s="6"/>
      <c r="C36" s="6"/>
      <c r="D36" s="6"/>
      <c r="E36" s="13">
        <f>AVERAGE(E21:E35)</f>
        <v>643.72799999999984</v>
      </c>
      <c r="F36" s="6"/>
      <c r="G36" s="6"/>
      <c r="H36" s="6"/>
      <c r="I36" s="13">
        <f>AVERAGE(I21:I35)</f>
        <v>817.64799999999991</v>
      </c>
      <c r="J36" s="14">
        <f t="shared" si="9"/>
        <v>0.27017622349812359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46F0-B5EA-4255-95D4-D70A86FAB7B5}">
  <dimension ref="A1:J36"/>
  <sheetViews>
    <sheetView workbookViewId="0">
      <selection activeCell="A20" sqref="A20"/>
    </sheetView>
  </sheetViews>
  <sheetFormatPr defaultRowHeight="15" x14ac:dyDescent="0.25"/>
  <cols>
    <col min="1" max="1" width="55" customWidth="1"/>
  </cols>
  <sheetData>
    <row r="1" spans="1:10" ht="22.5" x14ac:dyDescent="0.45">
      <c r="A1" s="3" t="s">
        <v>33</v>
      </c>
    </row>
    <row r="2" spans="1:10" x14ac:dyDescent="0.25">
      <c r="A2" s="4" t="s">
        <v>1</v>
      </c>
    </row>
    <row r="3" spans="1:10" ht="18.75" x14ac:dyDescent="0.4">
      <c r="A3" s="2" t="s">
        <v>2</v>
      </c>
    </row>
    <row r="4" spans="1:10" x14ac:dyDescent="0.25">
      <c r="A4" s="5" t="s">
        <v>3</v>
      </c>
      <c r="B4" s="6" t="s">
        <v>4</v>
      </c>
      <c r="C4" s="6" t="s">
        <v>5</v>
      </c>
      <c r="D4" s="6" t="s">
        <v>7</v>
      </c>
      <c r="E4" s="6">
        <v>2015</v>
      </c>
      <c r="F4" s="6" t="s">
        <v>4</v>
      </c>
      <c r="G4" s="6" t="s">
        <v>5</v>
      </c>
      <c r="H4" s="6" t="s">
        <v>7</v>
      </c>
      <c r="I4" s="6">
        <v>2025</v>
      </c>
      <c r="J4" s="7" t="s">
        <v>8</v>
      </c>
    </row>
    <row r="5" spans="1:10" x14ac:dyDescent="0.25">
      <c r="A5" s="8" t="s">
        <v>9</v>
      </c>
      <c r="B5" s="9">
        <v>9.91</v>
      </c>
      <c r="C5" s="9">
        <f>0.0171*750</f>
        <v>12.825000000000001</v>
      </c>
      <c r="D5" s="9">
        <f t="shared" ref="D5:D16" si="0">SUM(B5:C5)</f>
        <v>22.734999999999999</v>
      </c>
      <c r="E5" s="9">
        <f t="shared" ref="E5:E15" si="1">+D5*12</f>
        <v>272.82</v>
      </c>
      <c r="F5" s="9">
        <v>41.4</v>
      </c>
      <c r="G5" s="9"/>
      <c r="H5" s="9">
        <f t="shared" ref="H5:H16" si="2">SUM(F5:G5)</f>
        <v>41.4</v>
      </c>
      <c r="I5" s="9">
        <f t="shared" ref="I5:I15" si="3">+H5*12</f>
        <v>496.79999999999995</v>
      </c>
      <c r="J5" s="11">
        <f t="shared" ref="J5:J17" si="4">+(I5-E5)/E5</f>
        <v>0.82098086650538804</v>
      </c>
    </row>
    <row r="6" spans="1:10" x14ac:dyDescent="0.25">
      <c r="A6" s="8" t="s">
        <v>10</v>
      </c>
      <c r="B6" s="9">
        <v>20.23</v>
      </c>
      <c r="C6" s="9">
        <f>0.0148*750</f>
        <v>11.1</v>
      </c>
      <c r="D6" s="9">
        <f t="shared" si="0"/>
        <v>31.33</v>
      </c>
      <c r="E6" s="9">
        <f t="shared" si="1"/>
        <v>375.96</v>
      </c>
      <c r="F6" s="8">
        <v>40.01</v>
      </c>
      <c r="G6" s="9"/>
      <c r="H6" s="9">
        <f t="shared" si="2"/>
        <v>40.01</v>
      </c>
      <c r="I6" s="9">
        <f t="shared" si="3"/>
        <v>480.12</v>
      </c>
      <c r="J6" s="11">
        <f t="shared" si="4"/>
        <v>0.27705075007979579</v>
      </c>
    </row>
    <row r="7" spans="1:10" x14ac:dyDescent="0.25">
      <c r="A7" s="8" t="s">
        <v>11</v>
      </c>
      <c r="B7" s="9">
        <v>15.9</v>
      </c>
      <c r="C7" s="9">
        <f>0.0217*750</f>
        <v>16.275000000000002</v>
      </c>
      <c r="D7" s="9">
        <f t="shared" si="0"/>
        <v>32.175000000000004</v>
      </c>
      <c r="E7" s="9">
        <f t="shared" si="1"/>
        <v>386.1</v>
      </c>
      <c r="F7" s="9">
        <v>39.729999999999997</v>
      </c>
      <c r="G7" s="9"/>
      <c r="H7" s="9">
        <f t="shared" si="2"/>
        <v>39.729999999999997</v>
      </c>
      <c r="I7" s="9">
        <f t="shared" si="3"/>
        <v>476.76</v>
      </c>
      <c r="J7" s="11">
        <f t="shared" si="4"/>
        <v>0.23480963480963471</v>
      </c>
    </row>
    <row r="8" spans="1:10" x14ac:dyDescent="0.25">
      <c r="A8" s="8" t="s">
        <v>12</v>
      </c>
      <c r="B8" s="9">
        <v>16.190000000000001</v>
      </c>
      <c r="C8" s="9">
        <f>0.0124*750</f>
        <v>9.2999999999999989</v>
      </c>
      <c r="D8" s="9">
        <f t="shared" si="0"/>
        <v>25.490000000000002</v>
      </c>
      <c r="E8" s="9">
        <f t="shared" si="1"/>
        <v>305.88</v>
      </c>
      <c r="F8" s="9">
        <v>36.86</v>
      </c>
      <c r="G8" s="9"/>
      <c r="H8" s="9">
        <f t="shared" si="2"/>
        <v>36.86</v>
      </c>
      <c r="I8" s="9">
        <f t="shared" si="3"/>
        <v>442.32</v>
      </c>
      <c r="J8" s="11">
        <f t="shared" si="4"/>
        <v>0.44605727736367201</v>
      </c>
    </row>
    <row r="9" spans="1:10" x14ac:dyDescent="0.25">
      <c r="A9" s="8" t="s">
        <v>13</v>
      </c>
      <c r="B9" s="9">
        <v>18.43</v>
      </c>
      <c r="C9" s="9">
        <f>0.0185*750</f>
        <v>13.875</v>
      </c>
      <c r="D9" s="9">
        <f t="shared" si="0"/>
        <v>32.305</v>
      </c>
      <c r="E9" s="9">
        <f t="shared" si="1"/>
        <v>387.65999999999997</v>
      </c>
      <c r="F9" s="9">
        <v>40.659999999999997</v>
      </c>
      <c r="G9" s="9"/>
      <c r="H9" s="9">
        <f t="shared" si="2"/>
        <v>40.659999999999997</v>
      </c>
      <c r="I9" s="9">
        <f t="shared" si="3"/>
        <v>487.91999999999996</v>
      </c>
      <c r="J9" s="11">
        <f t="shared" si="4"/>
        <v>0.25862869524841353</v>
      </c>
    </row>
    <row r="10" spans="1:10" ht="20.25" customHeight="1" x14ac:dyDescent="0.25">
      <c r="A10" s="12" t="s">
        <v>14</v>
      </c>
      <c r="B10" s="9">
        <v>12.98</v>
      </c>
      <c r="C10" s="9">
        <f>0.0126*750</f>
        <v>9.4499999999999993</v>
      </c>
      <c r="D10" s="9">
        <f t="shared" si="0"/>
        <v>22.43</v>
      </c>
      <c r="E10" s="9">
        <f t="shared" si="1"/>
        <v>269.15999999999997</v>
      </c>
      <c r="F10" s="9">
        <v>35.409999999999997</v>
      </c>
      <c r="G10" s="9"/>
      <c r="H10" s="9">
        <f t="shared" si="2"/>
        <v>35.409999999999997</v>
      </c>
      <c r="I10" s="9">
        <f t="shared" si="3"/>
        <v>424.91999999999996</v>
      </c>
      <c r="J10" s="11">
        <f t="shared" si="4"/>
        <v>0.57868925546143557</v>
      </c>
    </row>
    <row r="11" spans="1:10" x14ac:dyDescent="0.25">
      <c r="A11" s="15" t="s">
        <v>15</v>
      </c>
      <c r="B11" s="9">
        <v>15</v>
      </c>
      <c r="C11" s="9">
        <f>0.0146*750</f>
        <v>10.95</v>
      </c>
      <c r="D11" s="9">
        <f t="shared" si="0"/>
        <v>25.95</v>
      </c>
      <c r="E11" s="9">
        <f t="shared" si="1"/>
        <v>311.39999999999998</v>
      </c>
      <c r="F11" s="9">
        <v>33.57</v>
      </c>
      <c r="G11" s="9"/>
      <c r="H11" s="9">
        <f t="shared" si="2"/>
        <v>33.57</v>
      </c>
      <c r="I11" s="9">
        <f t="shared" si="3"/>
        <v>402.84000000000003</v>
      </c>
      <c r="J11" s="11">
        <f t="shared" si="4"/>
        <v>0.29364161849711001</v>
      </c>
    </row>
    <row r="12" spans="1:10" x14ac:dyDescent="0.25">
      <c r="A12" s="8" t="s">
        <v>34</v>
      </c>
      <c r="B12" s="9">
        <v>14.59</v>
      </c>
      <c r="C12" s="9">
        <f>0.0159*750</f>
        <v>11.925000000000001</v>
      </c>
      <c r="D12" s="9">
        <f t="shared" si="0"/>
        <v>26.515000000000001</v>
      </c>
      <c r="E12" s="9">
        <f t="shared" si="1"/>
        <v>318.18</v>
      </c>
      <c r="F12" s="9">
        <v>34.520000000000003</v>
      </c>
      <c r="G12" s="9"/>
      <c r="H12" s="9">
        <f t="shared" si="2"/>
        <v>34.520000000000003</v>
      </c>
      <c r="I12" s="9">
        <f t="shared" si="3"/>
        <v>414.24</v>
      </c>
      <c r="J12" s="11">
        <f t="shared" si="4"/>
        <v>0.30190458231189893</v>
      </c>
    </row>
    <row r="13" spans="1:10" x14ac:dyDescent="0.25">
      <c r="A13" s="8" t="s">
        <v>16</v>
      </c>
      <c r="B13" s="9">
        <v>12.94</v>
      </c>
      <c r="C13" s="9">
        <f>0.0152*750</f>
        <v>11.4</v>
      </c>
      <c r="D13" s="9">
        <f t="shared" si="0"/>
        <v>24.34</v>
      </c>
      <c r="E13" s="9">
        <f t="shared" si="1"/>
        <v>292.08</v>
      </c>
      <c r="F13" s="9">
        <v>34.26</v>
      </c>
      <c r="G13" s="9"/>
      <c r="H13" s="9">
        <f t="shared" si="2"/>
        <v>34.26</v>
      </c>
      <c r="I13" s="9">
        <f t="shared" si="3"/>
        <v>411.12</v>
      </c>
      <c r="J13" s="11">
        <f t="shared" si="4"/>
        <v>0.40755957271980287</v>
      </c>
    </row>
    <row r="14" spans="1:10" x14ac:dyDescent="0.25">
      <c r="A14" s="8" t="s">
        <v>17</v>
      </c>
      <c r="B14" s="9">
        <v>15.43</v>
      </c>
      <c r="C14" s="9">
        <f>0.0144*750</f>
        <v>10.799999999999999</v>
      </c>
      <c r="D14" s="9">
        <f t="shared" si="0"/>
        <v>26.229999999999997</v>
      </c>
      <c r="E14" s="9">
        <f t="shared" si="1"/>
        <v>314.76</v>
      </c>
      <c r="F14" s="9">
        <v>36.17</v>
      </c>
      <c r="G14" s="9"/>
      <c r="H14" s="9">
        <f t="shared" si="2"/>
        <v>36.17</v>
      </c>
      <c r="I14" s="9">
        <f t="shared" si="3"/>
        <v>434.04</v>
      </c>
      <c r="J14" s="11">
        <f t="shared" si="4"/>
        <v>0.37895539458635163</v>
      </c>
    </row>
    <row r="15" spans="1:10" x14ac:dyDescent="0.25">
      <c r="A15" s="8" t="s">
        <v>18</v>
      </c>
      <c r="B15" s="9">
        <v>14.43</v>
      </c>
      <c r="C15" s="9">
        <f>0.0146*750</f>
        <v>10.95</v>
      </c>
      <c r="D15" s="9">
        <f t="shared" si="0"/>
        <v>25.38</v>
      </c>
      <c r="E15" s="9">
        <f t="shared" si="1"/>
        <v>304.56</v>
      </c>
      <c r="F15" s="9">
        <v>30.06</v>
      </c>
      <c r="G15" s="9"/>
      <c r="H15" s="9">
        <f t="shared" si="2"/>
        <v>30.06</v>
      </c>
      <c r="I15" s="9">
        <f t="shared" si="3"/>
        <v>360.71999999999997</v>
      </c>
      <c r="J15" s="11">
        <f t="shared" si="4"/>
        <v>0.18439716312056728</v>
      </c>
    </row>
    <row r="16" spans="1:10" x14ac:dyDescent="0.25">
      <c r="A16" s="15" t="s">
        <v>19</v>
      </c>
      <c r="B16" s="10">
        <v>11.21</v>
      </c>
      <c r="C16" s="10">
        <f>0.0142*750</f>
        <v>10.65</v>
      </c>
      <c r="D16" s="9">
        <f t="shared" si="0"/>
        <v>21.86</v>
      </c>
      <c r="E16" s="9">
        <f>+D16*12</f>
        <v>262.32</v>
      </c>
      <c r="F16" s="9">
        <v>29.79</v>
      </c>
      <c r="G16" s="9"/>
      <c r="H16" s="9">
        <f t="shared" si="2"/>
        <v>29.79</v>
      </c>
      <c r="I16" s="9">
        <f>+H16*12</f>
        <v>357.48</v>
      </c>
      <c r="J16" s="11">
        <f t="shared" si="4"/>
        <v>0.36276303751143651</v>
      </c>
    </row>
    <row r="17" spans="1:10" x14ac:dyDescent="0.25">
      <c r="A17" s="6" t="s">
        <v>20</v>
      </c>
      <c r="B17" s="13"/>
      <c r="C17" s="13"/>
      <c r="D17" s="13"/>
      <c r="E17" s="13">
        <f>AVERAGE(E5:E16)</f>
        <v>316.74</v>
      </c>
      <c r="F17" s="13"/>
      <c r="G17" s="13"/>
      <c r="H17" s="13"/>
      <c r="I17" s="13">
        <f>AVERAGE(I5:I16)</f>
        <v>432.44000000000005</v>
      </c>
      <c r="J17" s="14">
        <f t="shared" si="4"/>
        <v>0.36528382900801931</v>
      </c>
    </row>
    <row r="19" spans="1:10" ht="18.75" x14ac:dyDescent="0.4">
      <c r="A19" s="2" t="s">
        <v>21</v>
      </c>
    </row>
    <row r="20" spans="1:10" x14ac:dyDescent="0.25">
      <c r="A20" s="5" t="s">
        <v>3</v>
      </c>
      <c r="B20" s="6" t="s">
        <v>4</v>
      </c>
      <c r="C20" s="6" t="s">
        <v>5</v>
      </c>
      <c r="D20" s="6" t="s">
        <v>7</v>
      </c>
      <c r="E20" s="6">
        <v>2015</v>
      </c>
      <c r="F20" s="6" t="s">
        <v>4</v>
      </c>
      <c r="G20" s="6" t="s">
        <v>5</v>
      </c>
      <c r="H20" s="6" t="s">
        <v>7</v>
      </c>
      <c r="I20" s="6">
        <v>2025</v>
      </c>
      <c r="J20" s="7" t="s">
        <v>8</v>
      </c>
    </row>
    <row r="21" spans="1:10" x14ac:dyDescent="0.25">
      <c r="A21" s="8" t="s">
        <v>22</v>
      </c>
      <c r="B21" s="9">
        <v>18.88</v>
      </c>
      <c r="C21" s="9">
        <f>0.0138*750</f>
        <v>10.35</v>
      </c>
      <c r="D21" s="9">
        <f t="shared" ref="D21:D35" si="5">SUM(B21:C21)</f>
        <v>29.229999999999997</v>
      </c>
      <c r="E21" s="9">
        <f t="shared" ref="E21:E34" si="6">+D21*12</f>
        <v>350.76</v>
      </c>
      <c r="F21" s="9">
        <v>39.85</v>
      </c>
      <c r="G21" s="9"/>
      <c r="H21" s="9">
        <f t="shared" ref="H21:H35" si="7">SUM(F21:G21)</f>
        <v>39.85</v>
      </c>
      <c r="I21" s="9">
        <f t="shared" ref="I21:I34" si="8">+H21*12</f>
        <v>478.20000000000005</v>
      </c>
      <c r="J21" s="11">
        <f t="shared" ref="J21:J36" si="9">+(I21-E21)/E21</f>
        <v>0.36332535066712296</v>
      </c>
    </row>
    <row r="22" spans="1:10" x14ac:dyDescent="0.25">
      <c r="A22" s="8" t="s">
        <v>23</v>
      </c>
      <c r="B22" s="9">
        <v>14.87</v>
      </c>
      <c r="C22" s="9">
        <f>0.015*750</f>
        <v>11.25</v>
      </c>
      <c r="D22" s="9">
        <f t="shared" si="5"/>
        <v>26.119999999999997</v>
      </c>
      <c r="E22" s="9">
        <f t="shared" si="6"/>
        <v>313.43999999999994</v>
      </c>
      <c r="F22" s="9">
        <v>44.2</v>
      </c>
      <c r="G22" s="9"/>
      <c r="H22" s="9">
        <f t="shared" si="7"/>
        <v>44.2</v>
      </c>
      <c r="I22" s="9">
        <f t="shared" si="8"/>
        <v>530.40000000000009</v>
      </c>
      <c r="J22" s="11">
        <f t="shared" si="9"/>
        <v>0.6921898928024508</v>
      </c>
    </row>
    <row r="23" spans="1:10" x14ac:dyDescent="0.25">
      <c r="A23" s="8" t="s">
        <v>24</v>
      </c>
      <c r="B23" s="9">
        <v>13.19</v>
      </c>
      <c r="C23" s="9">
        <f>0.015*750</f>
        <v>11.25</v>
      </c>
      <c r="D23" s="9">
        <f t="shared" si="5"/>
        <v>24.439999999999998</v>
      </c>
      <c r="E23" s="9">
        <f t="shared" si="6"/>
        <v>293.27999999999997</v>
      </c>
      <c r="F23" s="9">
        <v>35.31</v>
      </c>
      <c r="G23" s="9"/>
      <c r="H23" s="9">
        <f t="shared" si="7"/>
        <v>35.31</v>
      </c>
      <c r="I23" s="9">
        <f t="shared" si="8"/>
        <v>423.72</v>
      </c>
      <c r="J23" s="11">
        <f t="shared" si="9"/>
        <v>0.44476268412438646</v>
      </c>
    </row>
    <row r="24" spans="1:10" x14ac:dyDescent="0.25">
      <c r="A24" s="8" t="s">
        <v>10</v>
      </c>
      <c r="B24" s="9">
        <v>20.23</v>
      </c>
      <c r="C24" s="9">
        <f>0.0148*750</f>
        <v>11.1</v>
      </c>
      <c r="D24" s="9">
        <f t="shared" si="5"/>
        <v>31.33</v>
      </c>
      <c r="E24" s="9">
        <f t="shared" si="6"/>
        <v>375.96</v>
      </c>
      <c r="F24" s="9">
        <f>F6</f>
        <v>40.01</v>
      </c>
      <c r="G24" s="9"/>
      <c r="H24" s="9">
        <f t="shared" si="7"/>
        <v>40.01</v>
      </c>
      <c r="I24" s="9">
        <f t="shared" si="8"/>
        <v>480.12</v>
      </c>
      <c r="J24" s="11">
        <f t="shared" si="9"/>
        <v>0.27705075007979579</v>
      </c>
    </row>
    <row r="25" spans="1:10" x14ac:dyDescent="0.25">
      <c r="A25" s="8" t="s">
        <v>25</v>
      </c>
      <c r="B25" s="9">
        <v>15.63</v>
      </c>
      <c r="C25" s="9">
        <f>0.0144*750</f>
        <v>10.799999999999999</v>
      </c>
      <c r="D25" s="9">
        <f t="shared" si="5"/>
        <v>26.43</v>
      </c>
      <c r="E25" s="9">
        <f t="shared" si="6"/>
        <v>317.15999999999997</v>
      </c>
      <c r="F25" s="9">
        <v>34.130000000000003</v>
      </c>
      <c r="G25" s="9"/>
      <c r="H25" s="9">
        <f t="shared" si="7"/>
        <v>34.130000000000003</v>
      </c>
      <c r="I25" s="9">
        <f t="shared" si="8"/>
        <v>409.56000000000006</v>
      </c>
      <c r="J25" s="11">
        <f t="shared" si="9"/>
        <v>0.29133560348089327</v>
      </c>
    </row>
    <row r="26" spans="1:10" x14ac:dyDescent="0.25">
      <c r="A26" s="8" t="s">
        <v>13</v>
      </c>
      <c r="B26" s="9">
        <v>18.43</v>
      </c>
      <c r="C26" s="9">
        <f>0.0185*750</f>
        <v>13.875</v>
      </c>
      <c r="D26" s="9">
        <f t="shared" si="5"/>
        <v>32.305</v>
      </c>
      <c r="E26" s="9">
        <f t="shared" si="6"/>
        <v>387.65999999999997</v>
      </c>
      <c r="F26" s="9">
        <f>F9</f>
        <v>40.659999999999997</v>
      </c>
      <c r="G26" s="9"/>
      <c r="H26" s="9">
        <f t="shared" si="7"/>
        <v>40.659999999999997</v>
      </c>
      <c r="I26" s="9">
        <f t="shared" si="8"/>
        <v>487.91999999999996</v>
      </c>
      <c r="J26" s="11">
        <f t="shared" si="9"/>
        <v>0.25862869524841353</v>
      </c>
    </row>
    <row r="27" spans="1:10" x14ac:dyDescent="0.25">
      <c r="A27" s="8" t="s">
        <v>26</v>
      </c>
      <c r="B27" s="9">
        <v>10.25</v>
      </c>
      <c r="C27" s="9">
        <f>0.0242*750</f>
        <v>18.149999999999999</v>
      </c>
      <c r="D27" s="9">
        <f t="shared" si="5"/>
        <v>28.4</v>
      </c>
      <c r="E27" s="9">
        <f t="shared" si="6"/>
        <v>340.79999999999995</v>
      </c>
      <c r="F27" s="9">
        <v>37.58</v>
      </c>
      <c r="G27" s="9"/>
      <c r="H27" s="9">
        <f t="shared" si="7"/>
        <v>37.58</v>
      </c>
      <c r="I27" s="9">
        <f t="shared" si="8"/>
        <v>450.96</v>
      </c>
      <c r="J27" s="11">
        <f t="shared" si="9"/>
        <v>0.32323943661971843</v>
      </c>
    </row>
    <row r="28" spans="1:10" x14ac:dyDescent="0.25">
      <c r="A28" s="8" t="s">
        <v>27</v>
      </c>
      <c r="B28" s="9">
        <v>18.170000000000002</v>
      </c>
      <c r="C28" s="9">
        <f>0.0128*750</f>
        <v>9.6</v>
      </c>
      <c r="D28" s="9">
        <f t="shared" si="5"/>
        <v>27.770000000000003</v>
      </c>
      <c r="E28" s="9">
        <f t="shared" si="6"/>
        <v>333.24</v>
      </c>
      <c r="F28" s="9">
        <v>35.46</v>
      </c>
      <c r="G28" s="9"/>
      <c r="H28" s="9">
        <f t="shared" si="7"/>
        <v>35.46</v>
      </c>
      <c r="I28" s="9">
        <f t="shared" si="8"/>
        <v>425.52</v>
      </c>
      <c r="J28" s="11">
        <f t="shared" si="9"/>
        <v>0.27691753691033483</v>
      </c>
    </row>
    <row r="29" spans="1:10" x14ac:dyDescent="0.25">
      <c r="A29" s="8" t="s">
        <v>28</v>
      </c>
      <c r="B29" s="9">
        <v>12.03</v>
      </c>
      <c r="C29" s="9">
        <f>0.0164*750</f>
        <v>12.3</v>
      </c>
      <c r="D29" s="9">
        <f t="shared" si="5"/>
        <v>24.33</v>
      </c>
      <c r="E29" s="9">
        <f t="shared" si="6"/>
        <v>291.95999999999998</v>
      </c>
      <c r="F29" s="9">
        <v>32.64</v>
      </c>
      <c r="G29" s="9"/>
      <c r="H29" s="9">
        <f t="shared" si="7"/>
        <v>32.64</v>
      </c>
      <c r="I29" s="9">
        <f t="shared" si="8"/>
        <v>391.68</v>
      </c>
      <c r="J29" s="11">
        <f t="shared" si="9"/>
        <v>0.34155363748458706</v>
      </c>
    </row>
    <row r="30" spans="1:10" x14ac:dyDescent="0.25">
      <c r="A30" s="8" t="s">
        <v>29</v>
      </c>
      <c r="B30" s="9">
        <v>10.15</v>
      </c>
      <c r="C30" s="9">
        <f>0.0199*750</f>
        <v>14.925000000000001</v>
      </c>
      <c r="D30" s="9">
        <f t="shared" si="5"/>
        <v>25.075000000000003</v>
      </c>
      <c r="E30" s="9">
        <f t="shared" si="6"/>
        <v>300.90000000000003</v>
      </c>
      <c r="F30" s="9">
        <v>31.8</v>
      </c>
      <c r="G30" s="9"/>
      <c r="H30" s="9">
        <f t="shared" si="7"/>
        <v>31.8</v>
      </c>
      <c r="I30" s="9">
        <f t="shared" si="8"/>
        <v>381.6</v>
      </c>
      <c r="J30" s="11">
        <f t="shared" si="9"/>
        <v>0.26819541375872374</v>
      </c>
    </row>
    <row r="31" spans="1:10" x14ac:dyDescent="0.25">
      <c r="A31" s="15" t="s">
        <v>15</v>
      </c>
      <c r="B31" s="9">
        <v>15</v>
      </c>
      <c r="C31" s="9">
        <f>0.0146*750</f>
        <v>10.95</v>
      </c>
      <c r="D31" s="9">
        <f t="shared" si="5"/>
        <v>25.95</v>
      </c>
      <c r="E31" s="9">
        <f t="shared" si="6"/>
        <v>311.39999999999998</v>
      </c>
      <c r="F31" s="9">
        <f>F11</f>
        <v>33.57</v>
      </c>
      <c r="G31" s="9"/>
      <c r="H31" s="9">
        <f t="shared" si="7"/>
        <v>33.57</v>
      </c>
      <c r="I31" s="9">
        <f t="shared" si="8"/>
        <v>402.84000000000003</v>
      </c>
      <c r="J31" s="11">
        <f t="shared" si="9"/>
        <v>0.29364161849711001</v>
      </c>
    </row>
    <row r="32" spans="1:10" x14ac:dyDescent="0.25">
      <c r="A32" s="15" t="s">
        <v>30</v>
      </c>
      <c r="B32" s="9">
        <v>12.56</v>
      </c>
      <c r="C32" s="9">
        <f>0.0154*750</f>
        <v>11.55</v>
      </c>
      <c r="D32" s="9">
        <f t="shared" si="5"/>
        <v>24.11</v>
      </c>
      <c r="E32" s="9">
        <f t="shared" si="6"/>
        <v>289.32</v>
      </c>
      <c r="F32" s="9">
        <v>31.06</v>
      </c>
      <c r="G32" s="9"/>
      <c r="H32" s="9">
        <f t="shared" si="7"/>
        <v>31.06</v>
      </c>
      <c r="I32" s="9">
        <f t="shared" si="8"/>
        <v>372.71999999999997</v>
      </c>
      <c r="J32" s="11">
        <f t="shared" si="9"/>
        <v>0.288262131895479</v>
      </c>
    </row>
    <row r="33" spans="1:10" x14ac:dyDescent="0.25">
      <c r="A33" s="15" t="s">
        <v>31</v>
      </c>
      <c r="B33" s="9">
        <v>11.98</v>
      </c>
      <c r="C33" s="9">
        <f>0.0144*750</f>
        <v>10.799999999999999</v>
      </c>
      <c r="D33" s="9">
        <f t="shared" si="5"/>
        <v>22.78</v>
      </c>
      <c r="E33" s="9">
        <f>+D33*12</f>
        <v>273.36</v>
      </c>
      <c r="F33" s="9">
        <v>31.17</v>
      </c>
      <c r="G33" s="9"/>
      <c r="H33" s="9">
        <f t="shared" si="7"/>
        <v>31.17</v>
      </c>
      <c r="I33" s="9">
        <f t="shared" si="8"/>
        <v>374.04</v>
      </c>
      <c r="J33" s="11">
        <f t="shared" si="9"/>
        <v>0.36830553116769094</v>
      </c>
    </row>
    <row r="34" spans="1:10" x14ac:dyDescent="0.25">
      <c r="A34" s="15" t="s">
        <v>32</v>
      </c>
      <c r="B34" s="9">
        <v>12.66</v>
      </c>
      <c r="C34" s="9">
        <f>0.0158*750</f>
        <v>11.850000000000001</v>
      </c>
      <c r="D34" s="9">
        <f t="shared" si="5"/>
        <v>24.51</v>
      </c>
      <c r="E34" s="9">
        <f t="shared" si="6"/>
        <v>294.12</v>
      </c>
      <c r="F34" s="9">
        <v>32.840000000000003</v>
      </c>
      <c r="G34" s="9"/>
      <c r="H34" s="9">
        <f t="shared" si="7"/>
        <v>32.840000000000003</v>
      </c>
      <c r="I34" s="9">
        <f t="shared" si="8"/>
        <v>394.08000000000004</v>
      </c>
      <c r="J34" s="11">
        <f t="shared" si="9"/>
        <v>0.33986128110975122</v>
      </c>
    </row>
    <row r="35" spans="1:10" x14ac:dyDescent="0.25">
      <c r="A35" s="15" t="s">
        <v>19</v>
      </c>
      <c r="B35" s="10">
        <v>11.21</v>
      </c>
      <c r="C35" s="10">
        <f>0.0142*750</f>
        <v>10.65</v>
      </c>
      <c r="D35" s="9">
        <f t="shared" si="5"/>
        <v>21.86</v>
      </c>
      <c r="E35" s="9">
        <f>+D35*12</f>
        <v>262.32</v>
      </c>
      <c r="F35" s="9">
        <f>F16</f>
        <v>29.79</v>
      </c>
      <c r="G35" s="9"/>
      <c r="H35" s="9">
        <f t="shared" si="7"/>
        <v>29.79</v>
      </c>
      <c r="I35" s="9">
        <f>+H35*12</f>
        <v>357.48</v>
      </c>
      <c r="J35" s="11">
        <f t="shared" si="9"/>
        <v>0.36276303751143651</v>
      </c>
    </row>
    <row r="36" spans="1:10" x14ac:dyDescent="0.25">
      <c r="A36" s="6" t="s">
        <v>20</v>
      </c>
      <c r="B36" s="6"/>
      <c r="C36" s="6"/>
      <c r="D36" s="6"/>
      <c r="E36" s="13">
        <f>AVERAGE(E21:E35)</f>
        <v>315.71199999999993</v>
      </c>
      <c r="F36" s="6"/>
      <c r="G36" s="6"/>
      <c r="H36" s="6"/>
      <c r="I36" s="13">
        <f>AVERAGE(I21:I35)</f>
        <v>424.05599999999998</v>
      </c>
      <c r="J36" s="14">
        <f t="shared" si="9"/>
        <v>0.343173525238192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438c0f2f0dd586cfffb889849620e195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de8dcbbc0849f0c98b43a509b911371a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7DD0A7-4EB4-4A0E-8A8C-D0DFC2F90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8D2A1A-F307-48A4-99BC-E2325754FAF2}">
  <ds:schemaRefs>
    <ds:schemaRef ds:uri="http://schemas.microsoft.com/office/2006/metadata/properties"/>
    <ds:schemaRef ds:uri="http://schemas.microsoft.com/office/infopath/2007/PartnerControls"/>
    <ds:schemaRef ds:uri="e0893123-66fa-4b19-a433-47924ff5ec26"/>
    <ds:schemaRef ds:uri="http://schemas.microsoft.com/sharepoint/v3"/>
    <ds:schemaRef ds:uri="http://schemas.microsoft.com/office/2006/documentManagement/types"/>
    <ds:schemaRef ds:uri="http://purl.org/dc/elements/1.1/"/>
    <ds:schemaRef ds:uri="http://purl.org/dc/terms/"/>
    <ds:schemaRef ds:uri="c813d627-6812-41ba-b21c-8d274ce88239"/>
    <ds:schemaRef ds:uri="http://schemas.openxmlformats.org/package/2006/metadata/core-properties"/>
    <ds:schemaRef ds:uri="http://www.w3.org/XML/1998/namespace"/>
    <ds:schemaRef ds:uri="http://purl.org/dc/dcmitype/"/>
    <ds:schemaRef ds:uri="18c4c99b-0bc1-4dd5-829e-ad5714449cd6"/>
    <ds:schemaRef ds:uri="83abfa7a-daeb-4e82-8a7e-c5824009c764"/>
  </ds:schemaRefs>
</ds:datastoreItem>
</file>

<file path=customXml/itemProps3.xml><?xml version="1.0" encoding="utf-8"?>
<ds:datastoreItem xmlns:ds="http://schemas.openxmlformats.org/officeDocument/2006/customXml" ds:itemID="{449CA97F-E097-4900-9693-085141B46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GS&gt;50</vt:lpstr>
      <vt:lpstr>GS &lt; 50</vt:lpstr>
      <vt:lpstr>Residential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Shepherd</dc:creator>
  <cp:keywords/>
  <dc:description/>
  <cp:lastModifiedBy>Valerie Bennett</cp:lastModifiedBy>
  <cp:revision/>
  <dcterms:created xsi:type="dcterms:W3CDTF">2025-06-09T15:05:41Z</dcterms:created>
  <dcterms:modified xsi:type="dcterms:W3CDTF">2025-07-30T22:32:54Z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Jet Reports Function Literals">
    <vt:lpwstr>,	;	,	{	}	[@[{0}]]	1033	4105</vt:lpwstr>
  </property>
</Properties>
</file>